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EACF6C98-0A25-4AFB-B1EF-5D0FD4CE04ED}" xr6:coauthVersionLast="47" xr6:coauthVersionMax="47" xr10:uidLastSave="{00000000-0000-0000-0000-000000000000}"/>
  <bookViews>
    <workbookView xWindow="28680" yWindow="-120" windowWidth="29040" windowHeight="15720" firstSheet="8" activeTab="9" xr2:uid="{59940B17-6D4F-41E6-8F5D-39D2D2A74BB1}"/>
  </bookViews>
  <sheets>
    <sheet name="Abutment Pile Loading" sheetId="2" state="hidden" r:id="rId1"/>
    <sheet name="Sheet1" sheetId="9" r:id="rId2"/>
    <sheet name="Sheet2" sheetId="1" r:id="rId3"/>
    <sheet name="Sheet3" sheetId="5" r:id="rId4"/>
    <sheet name="Sheet4" sheetId="6" r:id="rId5"/>
    <sheet name="Sheet5" sheetId="7" r:id="rId6"/>
    <sheet name="Sheet 6" sheetId="8" r:id="rId7"/>
    <sheet name="Loads &amp; Moment Arms" sheetId="4" r:id="rId8"/>
    <sheet name="Calcs" sheetId="3" r:id="rId9"/>
    <sheet name="Seismic Design" sheetId="10" r:id="rId10"/>
  </sheets>
  <externalReferences>
    <externalReference r:id="rId11"/>
    <externalReference r:id="rId12"/>
    <externalReference r:id="rId13"/>
  </externalReferences>
  <definedNames>
    <definedName name="db">[1]StemDesign_PartA!$W$86</definedName>
    <definedName name="_xlnm.Print_Area" localSheetId="0">'Abutment Pile Loading'!$A$1:$N$63</definedName>
    <definedName name="_xlnm.Print_Area" localSheetId="9">'Seismic Design'!$A$1:$K$71</definedName>
    <definedName name="_xlnm.Print_Area" localSheetId="6">'Sheet 6'!$A$1:$K$37</definedName>
    <definedName name="_xlnm.Print_Area" localSheetId="1">Sheet1!$A$1:$K$53</definedName>
    <definedName name="_xlnm.Print_Area" localSheetId="2">Sheet2!$A$1:$K$46</definedName>
    <definedName name="_xlnm.Print_Area" localSheetId="3">Sheet3!$A$1:$K$49</definedName>
    <definedName name="_xlnm.Print_Area" localSheetId="4">Sheet4!$A$1:$K$34</definedName>
    <definedName name="_xlnm.Print_Area" localSheetId="5">Sheet5!$A$1:$K$61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3" l="1"/>
  <c r="S13" i="10" l="1"/>
  <c r="U13" i="10" s="1"/>
  <c r="Q13" i="10"/>
  <c r="M12" i="10"/>
  <c r="O15" i="10" l="1"/>
  <c r="S12" i="10"/>
  <c r="AA57" i="10"/>
  <c r="B62" i="10" s="1"/>
  <c r="Q57" i="10"/>
  <c r="B61" i="10" s="1"/>
  <c r="M25" i="10"/>
  <c r="O25" i="10"/>
  <c r="O24" i="10"/>
  <c r="M24" i="10"/>
  <c r="C13" i="10" l="1"/>
  <c r="C12" i="10"/>
  <c r="M15" i="10"/>
  <c r="AE57" i="10"/>
  <c r="Q24" i="10"/>
  <c r="L18" i="10" s="1"/>
  <c r="Q25" i="10"/>
  <c r="C25" i="10" s="1"/>
  <c r="Q15" i="10" l="1"/>
  <c r="P18" i="10" s="1"/>
  <c r="B64" i="10"/>
  <c r="B66" i="10" s="1"/>
  <c r="C24" i="10"/>
  <c r="B57" i="10"/>
  <c r="N18" i="10" l="1"/>
  <c r="R18" i="10" s="1"/>
  <c r="M21" i="10" s="1"/>
  <c r="Q21" i="10" s="1"/>
  <c r="C21" i="10" s="1"/>
  <c r="D15" i="10"/>
  <c r="D66" i="10"/>
  <c r="H66" i="10"/>
  <c r="C18" i="10" l="1"/>
  <c r="H22" i="8" l="1"/>
  <c r="H37" i="8"/>
  <c r="U41" i="8"/>
  <c r="D41" i="8" s="1"/>
  <c r="Q41" i="8"/>
  <c r="M41" i="8"/>
  <c r="Q18" i="7"/>
  <c r="W39" i="7"/>
  <c r="D21" i="8"/>
  <c r="B43" i="6"/>
  <c r="Q44" i="6" s="1"/>
  <c r="W44" i="6" s="1"/>
  <c r="R15" i="7"/>
  <c r="R14" i="7"/>
  <c r="W14" i="7" s="1"/>
  <c r="M12" i="7"/>
  <c r="R12" i="7" s="1"/>
  <c r="O44" i="6"/>
  <c r="G19" i="6"/>
  <c r="O15" i="6" s="1"/>
  <c r="S15" i="5"/>
  <c r="Q15" i="5"/>
  <c r="D20" i="3"/>
  <c r="D17" i="3"/>
  <c r="D23" i="3" s="1"/>
  <c r="L32" i="1"/>
  <c r="D36" i="8"/>
  <c r="D35" i="8"/>
  <c r="D34" i="8"/>
  <c r="B36" i="8"/>
  <c r="B35" i="8"/>
  <c r="B34" i="8"/>
  <c r="B33" i="8"/>
  <c r="B32" i="8"/>
  <c r="B31" i="8"/>
  <c r="B30" i="8"/>
  <c r="B29" i="8"/>
  <c r="B28" i="8"/>
  <c r="B27" i="8"/>
  <c r="B18" i="8"/>
  <c r="B17" i="8"/>
  <c r="B21" i="8"/>
  <c r="B20" i="8"/>
  <c r="B19" i="8"/>
  <c r="B16" i="8"/>
  <c r="B15" i="8"/>
  <c r="B14" i="8"/>
  <c r="N38" i="7"/>
  <c r="N37" i="7"/>
  <c r="N36" i="7"/>
  <c r="M35" i="7"/>
  <c r="O18" i="7" l="1"/>
  <c r="C14" i="7"/>
  <c r="C12" i="7"/>
  <c r="M18" i="7"/>
  <c r="W15" i="7"/>
  <c r="M19" i="7" s="1"/>
  <c r="C19" i="7" s="1"/>
  <c r="C15" i="7" l="1"/>
  <c r="C18" i="7"/>
  <c r="Q29" i="7"/>
  <c r="M29" i="7"/>
  <c r="X29" i="7"/>
  <c r="O32" i="6"/>
  <c r="Q30" i="6"/>
  <c r="Q27" i="6"/>
  <c r="O27" i="6"/>
  <c r="O24" i="6"/>
  <c r="G21" i="6"/>
  <c r="N21" i="6" s="1"/>
  <c r="N20" i="6"/>
  <c r="Q24" i="6" s="1"/>
  <c r="AA12" i="6"/>
  <c r="M15" i="6" s="1"/>
  <c r="S15" i="6" s="1"/>
  <c r="M46" i="6" l="1"/>
  <c r="M27" i="6"/>
  <c r="U27" i="6" s="1"/>
  <c r="O30" i="6" s="1"/>
  <c r="O33" i="6"/>
  <c r="B24" i="6"/>
  <c r="B12" i="6"/>
  <c r="D44" i="6" l="1"/>
  <c r="O46" i="6"/>
  <c r="U30" i="6"/>
  <c r="B30" i="6" s="1"/>
  <c r="B27" i="6"/>
  <c r="B15" i="6"/>
  <c r="Q46" i="6" l="1"/>
  <c r="S29" i="7"/>
  <c r="M33" i="6"/>
  <c r="M32" i="6"/>
  <c r="D46" i="6" l="1"/>
  <c r="C21" i="8"/>
  <c r="E21" i="8" s="1"/>
  <c r="Q32" i="6"/>
  <c r="Q33" i="6"/>
  <c r="B33" i="6" l="1"/>
  <c r="C20" i="8"/>
  <c r="E20" i="8" s="1"/>
  <c r="C33" i="8"/>
  <c r="E33" i="8" s="1"/>
  <c r="O29" i="7"/>
  <c r="U29" i="7" s="1"/>
  <c r="B32" i="6"/>
  <c r="C19" i="8"/>
  <c r="E19" i="8" s="1"/>
  <c r="P37" i="7"/>
  <c r="C32" i="8"/>
  <c r="E32" i="8" s="1"/>
  <c r="Q29" i="5"/>
  <c r="M29" i="5"/>
  <c r="R30" i="5"/>
  <c r="P30" i="5"/>
  <c r="N30" i="5"/>
  <c r="T26" i="5"/>
  <c r="P26" i="5"/>
  <c r="N26" i="5"/>
  <c r="E22" i="5"/>
  <c r="R26" i="5" s="1"/>
  <c r="O21" i="5"/>
  <c r="U21" i="5" s="1"/>
  <c r="F21" i="5" s="1"/>
  <c r="U14" i="1"/>
  <c r="U15" i="5"/>
  <c r="C15" i="5" s="1"/>
  <c r="M13" i="5"/>
  <c r="M14" i="5"/>
  <c r="S14" i="5" s="1"/>
  <c r="C2" i="4"/>
  <c r="W34" i="4"/>
  <c r="S34" i="4"/>
  <c r="Q34" i="4"/>
  <c r="B35" i="4"/>
  <c r="O34" i="4" s="1"/>
  <c r="V31" i="4"/>
  <c r="C31" i="4" s="1"/>
  <c r="V30" i="4"/>
  <c r="C30" i="4" s="1"/>
  <c r="N28" i="4"/>
  <c r="Q94" i="3"/>
  <c r="N83" i="3"/>
  <c r="J87" i="3"/>
  <c r="Q93" i="3" s="1"/>
  <c r="T91" i="3"/>
  <c r="W29" i="7" l="1"/>
  <c r="A29" i="7" s="1"/>
  <c r="G29" i="7"/>
  <c r="R37" i="7"/>
  <c r="G37" i="7" s="1"/>
  <c r="C14" i="5"/>
  <c r="P38" i="7"/>
  <c r="C17" i="8"/>
  <c r="E17" i="8" s="1"/>
  <c r="C30" i="8"/>
  <c r="E30" i="8" s="1"/>
  <c r="P36" i="7"/>
  <c r="C18" i="8"/>
  <c r="E18" i="8" s="1"/>
  <c r="C31" i="8"/>
  <c r="E31" i="8" s="1"/>
  <c r="S29" i="5"/>
  <c r="V26" i="5"/>
  <c r="N28" i="5" s="1"/>
  <c r="X28" i="5" s="1"/>
  <c r="AB30" i="5"/>
  <c r="S13" i="5"/>
  <c r="X11" i="4"/>
  <c r="U34" i="4"/>
  <c r="Y34" i="4" s="1"/>
  <c r="S11" i="4" s="1"/>
  <c r="R28" i="4"/>
  <c r="B28" i="4" s="1"/>
  <c r="N87" i="3"/>
  <c r="Y20" i="4"/>
  <c r="Q89" i="3"/>
  <c r="C30" i="5" l="1"/>
  <c r="C36" i="8"/>
  <c r="E36" i="8" s="1"/>
  <c r="R36" i="7"/>
  <c r="T36" i="7" s="1"/>
  <c r="G36" i="7" s="1"/>
  <c r="O39" i="4"/>
  <c r="C16" i="8"/>
  <c r="E16" i="8" s="1"/>
  <c r="S35" i="7"/>
  <c r="C29" i="8"/>
  <c r="E29" i="8" s="1"/>
  <c r="C28" i="5"/>
  <c r="C34" i="8"/>
  <c r="E34" i="8" s="1"/>
  <c r="U35" i="7"/>
  <c r="U29" i="5"/>
  <c r="C26" i="5"/>
  <c r="C13" i="5"/>
  <c r="W43" i="4"/>
  <c r="B34" i="4"/>
  <c r="P40" i="4"/>
  <c r="D20" i="4"/>
  <c r="R41" i="4"/>
  <c r="Q39" i="4"/>
  <c r="C29" i="5" l="1"/>
  <c r="R38" i="7"/>
  <c r="T38" i="7" s="1"/>
  <c r="G38" i="7" s="1"/>
  <c r="C35" i="8"/>
  <c r="E35" i="8" s="1"/>
  <c r="P41" i="4"/>
  <c r="T41" i="4" l="1"/>
  <c r="F41" i="4" s="1"/>
  <c r="P32" i="1" l="1"/>
  <c r="N32" i="1"/>
  <c r="B33" i="1"/>
  <c r="B31" i="1"/>
  <c r="Q23" i="1"/>
  <c r="U23" i="1"/>
  <c r="O23" i="1"/>
  <c r="B22" i="1"/>
  <c r="S14" i="1"/>
  <c r="Q14" i="1"/>
  <c r="O14" i="1"/>
  <c r="M14" i="1"/>
  <c r="B13" i="1"/>
  <c r="J83" i="3" l="1"/>
  <c r="O89" i="3" s="1"/>
  <c r="R32" i="1"/>
  <c r="N34" i="1" s="1"/>
  <c r="B35" i="1" s="1"/>
  <c r="N39" i="1" s="1"/>
  <c r="W14" i="1"/>
  <c r="N16" i="1" s="1"/>
  <c r="B17" i="1" s="1"/>
  <c r="O35" i="7" l="1"/>
  <c r="C28" i="8"/>
  <c r="E28" i="8" s="1"/>
  <c r="C15" i="8"/>
  <c r="E15" i="8" s="1"/>
  <c r="L43" i="1"/>
  <c r="B26" i="4"/>
  <c r="U39" i="4"/>
  <c r="B32" i="1"/>
  <c r="B34" i="1"/>
  <c r="B14" i="1"/>
  <c r="B16" i="1"/>
  <c r="O23" i="4" l="1"/>
  <c r="W113" i="3"/>
  <c r="O113" i="3"/>
  <c r="Y113" i="3" s="1"/>
  <c r="B113" i="3" s="1"/>
  <c r="Y112" i="3"/>
  <c r="AA112" i="3" s="1"/>
  <c r="B112" i="3" s="1"/>
  <c r="X106" i="3"/>
  <c r="C106" i="3" s="1"/>
  <c r="S104" i="3"/>
  <c r="Q104" i="3"/>
  <c r="O104" i="3"/>
  <c r="C76" i="3"/>
  <c r="R75" i="3"/>
  <c r="P75" i="3"/>
  <c r="N75" i="3"/>
  <c r="AB75" i="3" s="1"/>
  <c r="V73" i="3"/>
  <c r="R73" i="3"/>
  <c r="P73" i="3"/>
  <c r="N73" i="3"/>
  <c r="T62" i="3"/>
  <c r="R62" i="3"/>
  <c r="P62" i="3"/>
  <c r="N62" i="3"/>
  <c r="P54" i="3"/>
  <c r="N54" i="3"/>
  <c r="AB50" i="3"/>
  <c r="Z50" i="3"/>
  <c r="X50" i="3"/>
  <c r="V50" i="3"/>
  <c r="R50" i="3"/>
  <c r="P50" i="3"/>
  <c r="N50" i="3"/>
  <c r="AB47" i="3"/>
  <c r="Z47" i="3"/>
  <c r="X47" i="3"/>
  <c r="V47" i="3"/>
  <c r="R47" i="3"/>
  <c r="P47" i="3"/>
  <c r="N47" i="3"/>
  <c r="C43" i="3"/>
  <c r="T47" i="3" s="1"/>
  <c r="S23" i="1"/>
  <c r="G55" i="2"/>
  <c r="C46" i="2"/>
  <c r="G49" i="2" s="1"/>
  <c r="C39" i="2"/>
  <c r="E43" i="2" s="1"/>
  <c r="F32" i="2"/>
  <c r="C33" i="2" s="1"/>
  <c r="E21" i="2"/>
  <c r="C22" i="2" s="1"/>
  <c r="F24" i="2" s="1"/>
  <c r="C25" i="2" s="1"/>
  <c r="F36" i="2" s="1"/>
  <c r="C19" i="2"/>
  <c r="C9" i="2"/>
  <c r="F11" i="2" s="1"/>
  <c r="C12" i="2" s="1"/>
  <c r="C36" i="2" s="1"/>
  <c r="X73" i="3" l="1"/>
  <c r="V62" i="3"/>
  <c r="B62" i="3" s="1"/>
  <c r="C75" i="3"/>
  <c r="D21" i="4"/>
  <c r="R40" i="4" s="1"/>
  <c r="M23" i="1"/>
  <c r="AD47" i="3"/>
  <c r="B47" i="3" s="1"/>
  <c r="U104" i="3"/>
  <c r="W104" i="3" s="1"/>
  <c r="C104" i="3" s="1"/>
  <c r="N74" i="3"/>
  <c r="X74" i="3" s="1"/>
  <c r="B115" i="3"/>
  <c r="T50" i="3"/>
  <c r="AD50" i="3" s="1"/>
  <c r="T54" i="3"/>
  <c r="B54" i="3" s="1"/>
  <c r="C37" i="2"/>
  <c r="C43" i="2" s="1"/>
  <c r="C44" i="2" s="1"/>
  <c r="C49" i="2" s="1"/>
  <c r="C50" i="2" s="1"/>
  <c r="C55" i="2" s="1"/>
  <c r="C56" i="2" s="1"/>
  <c r="C59" i="2" s="1"/>
  <c r="J36" i="2"/>
  <c r="W23" i="1" l="1"/>
  <c r="B23" i="1" s="1"/>
  <c r="T40" i="4"/>
  <c r="F40" i="4" s="1"/>
  <c r="J85" i="3"/>
  <c r="S89" i="3" s="1"/>
  <c r="R91" i="3"/>
  <c r="C74" i="3"/>
  <c r="D19" i="4"/>
  <c r="C73" i="3"/>
  <c r="B50" i="3"/>
  <c r="K61" i="2"/>
  <c r="H61" i="2"/>
  <c r="N25" i="1" l="1"/>
  <c r="B25" i="1" s="1"/>
  <c r="C90" i="3"/>
  <c r="B89" i="3"/>
  <c r="B26" i="1" l="1"/>
  <c r="P91" i="3"/>
  <c r="Q92" i="3"/>
  <c r="M23" i="4" l="1"/>
  <c r="L39" i="1"/>
  <c r="V91" i="3"/>
  <c r="O94" i="3" s="1"/>
  <c r="P39" i="1" l="1"/>
  <c r="B39" i="1" s="1"/>
  <c r="Q23" i="4"/>
  <c r="S39" i="4" s="1"/>
  <c r="W39" i="4" s="1"/>
  <c r="F39" i="4" s="1"/>
  <c r="C23" i="4"/>
  <c r="S94" i="3"/>
  <c r="B91" i="3"/>
  <c r="O93" i="3"/>
  <c r="N43" i="1" l="1"/>
  <c r="B44" i="1" s="1"/>
  <c r="C27" i="8"/>
  <c r="E27" i="8" s="1"/>
  <c r="E37" i="8" s="1"/>
  <c r="C14" i="8"/>
  <c r="E14" i="8" s="1"/>
  <c r="E22" i="8" s="1"/>
  <c r="Q35" i="7"/>
  <c r="B94" i="3"/>
  <c r="O11" i="4"/>
  <c r="S93" i="3"/>
  <c r="B93" i="3" s="1"/>
  <c r="U11" i="4"/>
  <c r="B24" i="4"/>
  <c r="G22" i="8" l="1"/>
  <c r="J22" i="8"/>
  <c r="G37" i="8"/>
  <c r="J37" i="8"/>
  <c r="W35" i="7"/>
  <c r="T39" i="7" s="1"/>
  <c r="B43" i="1"/>
  <c r="W11" i="4"/>
  <c r="A11" i="4" s="1"/>
  <c r="G11" i="4"/>
  <c r="B25" i="4"/>
  <c r="P42" i="4"/>
  <c r="R42" i="4" s="1"/>
  <c r="G35" i="7" l="1"/>
  <c r="V39" i="7"/>
  <c r="G39" i="7" s="1"/>
  <c r="J39" i="7"/>
  <c r="F42" i="4"/>
  <c r="T43" i="4"/>
  <c r="V43" i="4" l="1"/>
  <c r="F43" i="4" s="1"/>
  <c r="J43" i="4"/>
</calcChain>
</file>

<file path=xl/sharedStrings.xml><?xml version="1.0" encoding="utf-8"?>
<sst xmlns="http://schemas.openxmlformats.org/spreadsheetml/2006/main" count="1049" uniqueCount="492">
  <si>
    <t>Structure: TUS-00416-04.780</t>
  </si>
  <si>
    <t>PID: 108143</t>
  </si>
  <si>
    <t>Abutment Foundation Loading</t>
  </si>
  <si>
    <t>Dead Load (DL) Calculations</t>
  </si>
  <si>
    <t>Self Weight of Footing</t>
  </si>
  <si>
    <t>Dft = 150 lbs / cu. ft. x Volume of cap (cu. ft.)</t>
  </si>
  <si>
    <t>Notes outside printed area</t>
  </si>
  <si>
    <t xml:space="preserve">V = </t>
  </si>
  <si>
    <t>x</t>
  </si>
  <si>
    <t>Yellow</t>
  </si>
  <si>
    <t>Background is input from orig. plans</t>
  </si>
  <si>
    <t>cu. ft.</t>
  </si>
  <si>
    <t xml:space="preserve">Dft = </t>
  </si>
  <si>
    <t xml:space="preserve"> x (1/1000)</t>
  </si>
  <si>
    <t>Self Weight of Breastwall and Approach Slab Seat</t>
  </si>
  <si>
    <t>Dbw = 150 lbs / cu. ft.  x Volume of breastwall (cu. ft.)</t>
  </si>
  <si>
    <t>Average Height of Breastwall</t>
  </si>
  <si>
    <t xml:space="preserve">h1 = </t>
  </si>
  <si>
    <t>ft</t>
  </si>
  <si>
    <t>Note: Existing elevations used; recalculate after setting proposed profile.</t>
  </si>
  <si>
    <t xml:space="preserve">h2 = </t>
  </si>
  <si>
    <t xml:space="preserve">Avg. h = </t>
  </si>
  <si>
    <t>Volume of Breastwall</t>
  </si>
  <si>
    <t xml:space="preserve">Dbw = </t>
  </si>
  <si>
    <t>Self Weight of Wingwalls</t>
  </si>
  <si>
    <t>Dww = 150 lbs / cu. ft. x Volume of wingwall (cu. ft.)</t>
  </si>
  <si>
    <t>Volume of Wingwalls</t>
  </si>
  <si>
    <t xml:space="preserve">Vww = </t>
  </si>
  <si>
    <t>(See sheet _______.)</t>
  </si>
  <si>
    <t xml:space="preserve">Dww = </t>
  </si>
  <si>
    <t>Total Abutment Self Weight</t>
  </si>
  <si>
    <t>Dabut=</t>
  </si>
  <si>
    <t>Dft + Dbw + Dww</t>
  </si>
  <si>
    <t xml:space="preserve"> + </t>
  </si>
  <si>
    <t>Deck Dead Load Reaction</t>
  </si>
  <si>
    <t xml:space="preserve">DD = </t>
  </si>
  <si>
    <t>Total Abutment Dead Load (DL)</t>
  </si>
  <si>
    <t xml:space="preserve">DL = </t>
  </si>
  <si>
    <t>Dabut + DD</t>
  </si>
  <si>
    <t xml:space="preserve"> +</t>
  </si>
  <si>
    <t>Live Load Reaction</t>
  </si>
  <si>
    <t xml:space="preserve">LL = </t>
  </si>
  <si>
    <t>Total Pile Group Load</t>
  </si>
  <si>
    <t xml:space="preserve">Qact. = </t>
  </si>
  <si>
    <t>DL + LL</t>
  </si>
  <si>
    <t>No. of 14" C.I.P. Piles</t>
  </si>
  <si>
    <t xml:space="preserve">N = </t>
  </si>
  <si>
    <t>pile</t>
  </si>
  <si>
    <t>Loading per Pile</t>
  </si>
  <si>
    <t xml:space="preserve">qact. = </t>
  </si>
  <si>
    <t>Qact. / N</t>
  </si>
  <si>
    <t xml:space="preserve"> / </t>
  </si>
  <si>
    <t>kips per pile</t>
  </si>
  <si>
    <t>Expressed as tons per pile (tons = kips / 2)</t>
  </si>
  <si>
    <t>tons</t>
  </si>
  <si>
    <t>Pile Design Loading</t>
  </si>
  <si>
    <t xml:space="preserve">qallow = </t>
  </si>
  <si>
    <t>Wingwall Height:</t>
  </si>
  <si>
    <t>FT</t>
  </si>
  <si>
    <t>Combined Wingwall Length:</t>
  </si>
  <si>
    <t>Breastwall Avg Height:</t>
  </si>
  <si>
    <t>Breastwall Length:</t>
  </si>
  <si>
    <t>Backwall Height:</t>
  </si>
  <si>
    <t>Backwall Depth:</t>
  </si>
  <si>
    <t>Backwall Length:</t>
  </si>
  <si>
    <t>Stem Thickness:</t>
  </si>
  <si>
    <t>Dcsuper Components</t>
  </si>
  <si>
    <t>CB17-48 Box Beam</t>
  </si>
  <si>
    <t>Exterior Beam (Area)</t>
  </si>
  <si>
    <t>Diaphragm: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</si>
  <si>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</si>
  <si>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t>Normal:</t>
  </si>
  <si>
    <t>Interior Beam (Area)</t>
  </si>
  <si>
    <t>Length:</t>
  </si>
  <si>
    <t>No.</t>
  </si>
  <si>
    <t>End Diaphragm:</t>
  </si>
  <si>
    <t>FT x</t>
  </si>
  <si>
    <t>Interior Diapharagm:</t>
  </si>
  <si>
    <t>Normal Section:</t>
  </si>
  <si>
    <t>Weight:</t>
  </si>
  <si>
    <r>
      <t>k/FT</t>
    </r>
    <r>
      <rPr>
        <vertAlign val="superscript"/>
        <sz val="11"/>
        <color theme="1"/>
        <rFont val="Calibri"/>
        <family val="2"/>
        <scheme val="minor"/>
      </rPr>
      <t>3</t>
    </r>
  </si>
  <si>
    <t>Exterior Beam (x2)</t>
  </si>
  <si>
    <t>[(</t>
  </si>
  <si>
    <t xml:space="preserve"> FT x </t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</si>
  <si>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x </t>
    </r>
  </si>
  <si>
    <t xml:space="preserve"> EACH) + (</t>
  </si>
  <si>
    <t xml:space="preserve">FT x </t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</si>
  <si>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) + (</t>
    </r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</si>
  <si>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)] x </t>
    </r>
  </si>
  <si>
    <r>
      <t>k/FT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</si>
  <si>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t xml:space="preserve"> k</t>
  </si>
  <si>
    <t>Interior Beam (x6)</t>
  </si>
  <si>
    <t>TST-2 Railing:</t>
  </si>
  <si>
    <t>k-FT</t>
  </si>
  <si>
    <t>Railing Length:</t>
  </si>
  <si>
    <t xml:space="preserve">( </t>
  </si>
  <si>
    <t xml:space="preserve"> k-FT x </t>
  </si>
  <si>
    <t xml:space="preserve"> SIDES) = </t>
  </si>
  <si>
    <t>Deck</t>
  </si>
  <si>
    <t>Width:</t>
  </si>
  <si>
    <t>Depth:</t>
  </si>
  <si>
    <r>
      <t xml:space="preserve"> k/FT</t>
    </r>
    <r>
      <rPr>
        <vertAlign val="superscript"/>
        <sz val="11"/>
        <color theme="1"/>
        <rFont val="Calibri"/>
        <family val="2"/>
        <scheme val="minor"/>
      </rPr>
      <t xml:space="preserve">3 ) = </t>
    </r>
  </si>
  <si>
    <t>DW</t>
  </si>
  <si>
    <t>Approach Slab</t>
  </si>
  <si>
    <t>IN</t>
  </si>
  <si>
    <t>FWS</t>
  </si>
  <si>
    <r>
      <t>k/FT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</si>
  <si>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Weight</t>
    </r>
    <r>
      <rPr>
        <vertAlign val="subscript"/>
        <sz val="11"/>
        <color theme="1"/>
        <rFont val="Calibri"/>
        <family val="2"/>
        <scheme val="minor"/>
      </rPr>
      <t>AS</t>
    </r>
    <r>
      <rPr>
        <sz val="11"/>
        <color theme="1"/>
        <rFont val="Calibri"/>
        <family val="2"/>
        <scheme val="minor"/>
      </rPr>
      <t xml:space="preserve"> =</t>
    </r>
  </si>
  <si>
    <t>(</t>
  </si>
  <si>
    <t xml:space="preserve"> FT x (</t>
  </si>
  <si>
    <t xml:space="preserve">) x </t>
  </si>
  <si>
    <r>
      <t>DL</t>
    </r>
    <r>
      <rPr>
        <vertAlign val="subscript"/>
        <sz val="11"/>
        <color theme="1"/>
        <rFont val="Calibri"/>
        <family val="2"/>
        <scheme val="minor"/>
      </rPr>
      <t>AS</t>
    </r>
    <r>
      <rPr>
        <sz val="11"/>
        <color theme="1"/>
        <rFont val="Calibri"/>
        <family val="2"/>
        <scheme val="minor"/>
      </rPr>
      <t xml:space="preserve"> =</t>
    </r>
  </si>
  <si>
    <t xml:space="preserve"> k ) ( </t>
  </si>
  <si>
    <t xml:space="preserve">) ( </t>
  </si>
  <si>
    <t xml:space="preserve">) = </t>
  </si>
  <si>
    <t xml:space="preserve"> k (DC)</t>
  </si>
  <si>
    <r>
      <t>FWS</t>
    </r>
    <r>
      <rPr>
        <vertAlign val="subscript"/>
        <sz val="11"/>
        <color theme="1"/>
        <rFont val="Calibri"/>
        <family val="2"/>
        <scheme val="minor"/>
      </rPr>
      <t xml:space="preserve">AS </t>
    </r>
    <r>
      <rPr>
        <sz val="11"/>
        <color theme="1"/>
        <rFont val="Calibri"/>
        <family val="2"/>
        <scheme val="minor"/>
      </rPr>
      <t>=</t>
    </r>
  </si>
  <si>
    <t xml:space="preserve"> FT ) x (</t>
  </si>
  <si>
    <t xml:space="preserve"> k (DW)</t>
  </si>
  <si>
    <t>Deck FWS =</t>
  </si>
  <si>
    <t>k (DW)</t>
  </si>
  <si>
    <t>Tx = Topping Thickness</t>
  </si>
  <si>
    <t>EH = Resulatant Horizontal Earth Load</t>
  </si>
  <si>
    <t>BR (Braking Force)</t>
  </si>
  <si>
    <t>3.6.4</t>
  </si>
  <si>
    <t>Deck Width:</t>
  </si>
  <si>
    <t>Design Lane:</t>
  </si>
  <si>
    <t>Multiple Presence Factor (m)</t>
  </si>
  <si>
    <t>Table 3.6.1.1.2-1</t>
  </si>
  <si>
    <t>ADTT</t>
  </si>
  <si>
    <t>Trucks</t>
  </si>
  <si>
    <t>Title Sheet</t>
  </si>
  <si>
    <t xml:space="preserve">Design Lane: </t>
  </si>
  <si>
    <t>W</t>
  </si>
  <si>
    <t xml:space="preserve"> = </t>
  </si>
  <si>
    <t xml:space="preserve">, Use: </t>
  </si>
  <si>
    <t xml:space="preserve"> Lanes</t>
  </si>
  <si>
    <t xml:space="preserve">(m) = </t>
  </si>
  <si>
    <t>C3.6.1.1.2</t>
  </si>
  <si>
    <t xml:space="preserve">IF </t>
  </si>
  <si>
    <r>
      <t xml:space="preserve"> &lt;</t>
    </r>
    <r>
      <rPr>
        <sz val="11"/>
        <color theme="1"/>
        <rFont val="Calibri"/>
        <family val="2"/>
      </rPr>
      <t xml:space="preserve">̲ </t>
    </r>
  </si>
  <si>
    <t xml:space="preserve">,  </t>
  </si>
  <si>
    <t>The braking force shall be taken as the greater of:</t>
  </si>
  <si>
    <t>A) 25% of the axle weight of the design truck or design tandem</t>
  </si>
  <si>
    <t>B) 5% of design truck + lane load or 5% of design tandem + lane load</t>
  </si>
  <si>
    <r>
      <t>BR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</si>
  <si>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t xml:space="preserve"> ( </t>
  </si>
  <si>
    <t xml:space="preserve">k + </t>
  </si>
  <si>
    <t>k) (</t>
  </si>
  <si>
    <t>) (</t>
  </si>
  <si>
    <t xml:space="preserve"> ) ( </t>
  </si>
  <si>
    <t xml:space="preserve"> ) = </t>
  </si>
  <si>
    <t>k</t>
  </si>
  <si>
    <r>
      <t>BR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=</t>
    </r>
  </si>
  <si>
    <t xml:space="preserve">k +  </t>
  </si>
  <si>
    <t>Use:</t>
  </si>
  <si>
    <t/>
  </si>
  <si>
    <t xml:space="preserve"> x </t>
  </si>
  <si>
    <t xml:space="preserve">) + ( </t>
  </si>
  <si>
    <t xml:space="preserve">)] x </t>
  </si>
  <si>
    <t>LFRD Approach Slab Design - BDM, AASHTO</t>
  </si>
  <si>
    <t>Made By:</t>
  </si>
  <si>
    <t>MVC</t>
  </si>
  <si>
    <t>Date:</t>
  </si>
  <si>
    <t>Structure:</t>
  </si>
  <si>
    <t>PID:</t>
  </si>
  <si>
    <t>Chk'd By:</t>
  </si>
  <si>
    <t>Element:</t>
  </si>
  <si>
    <t>Approach Slab Design</t>
  </si>
  <si>
    <t>Sht</t>
  </si>
  <si>
    <t>of</t>
  </si>
  <si>
    <t>Footing Length:</t>
  </si>
  <si>
    <t>Footing Height1 (Front):</t>
  </si>
  <si>
    <t>Footing Height2 (Back):</t>
  </si>
  <si>
    <t>Footing Width1 (Front):</t>
  </si>
  <si>
    <t>Footing Width2 (Back):</t>
  </si>
  <si>
    <t>[(FH1 x FW1) + (FH2 x FW2)] x Lfoot</t>
  </si>
  <si>
    <t xml:space="preserve"> ft x </t>
  </si>
  <si>
    <t xml:space="preserve"> ft) + (</t>
  </si>
  <si>
    <t xml:space="preserve"> ft)] x </t>
  </si>
  <si>
    <t xml:space="preserve"> ft = </t>
  </si>
  <si>
    <t xml:space="preserve"> cu ft</t>
  </si>
  <si>
    <t xml:space="preserve"> lbs/cu ft x</t>
  </si>
  <si>
    <t xml:space="preserve"> cu ft x (1/1000)</t>
  </si>
  <si>
    <t>[(Hbw(avg) x Wbw) + (Haseat x Waseat)] x Lbw</t>
  </si>
  <si>
    <t>Hww x Www x Lcombww</t>
  </si>
  <si>
    <t xml:space="preserve"> kips</t>
  </si>
  <si>
    <t>3.11.5.1-1</t>
  </si>
  <si>
    <t>(z) depth below the surface of earth (ft)</t>
  </si>
  <si>
    <t>(ϒs) unit weight of soil (kcf)</t>
  </si>
  <si>
    <t xml:space="preserve">(p) lateral earth pressure (ksf) </t>
  </si>
  <si>
    <t>lbs/ft^3</t>
  </si>
  <si>
    <t>Table 307-1</t>
  </si>
  <si>
    <r>
      <t>(k) coefficient of lateral earth pressure taken as ko, specified in Article 3.11.5.2 (Ko= 1-sin</t>
    </r>
    <r>
      <rPr>
        <sz val="11"/>
        <color theme="1"/>
        <rFont val="Calibri"/>
        <family val="2"/>
      </rPr>
      <t>Φ'f)</t>
    </r>
  </si>
  <si>
    <r>
      <rPr>
        <sz val="11"/>
        <color theme="1"/>
        <rFont val="Calibri"/>
        <family val="2"/>
      </rPr>
      <t>Φ</t>
    </r>
    <r>
      <rPr>
        <i/>
        <sz val="11"/>
        <color theme="1"/>
        <rFont val="Calibri"/>
        <family val="2"/>
      </rPr>
      <t xml:space="preserve"> (</t>
    </r>
    <r>
      <rPr>
        <i/>
        <sz val="11"/>
        <color theme="1"/>
        <rFont val="Calibri"/>
        <family val="2"/>
        <scheme val="minor"/>
      </rPr>
      <t>Friction angle)</t>
    </r>
  </si>
  <si>
    <t>⁰</t>
  </si>
  <si>
    <t xml:space="preserve">lbs/ft^3 x </t>
  </si>
  <si>
    <t>(below approach slab)</t>
  </si>
  <si>
    <t xml:space="preserve"> lbs/cu ft x </t>
  </si>
  <si>
    <t>LOADS AND MOMENT ARMS</t>
  </si>
  <si>
    <t>3.11.5.1</t>
  </si>
  <si>
    <t xml:space="preserve">Pa = </t>
  </si>
  <si>
    <r>
      <t>pa = ko</t>
    </r>
    <r>
      <rPr>
        <i/>
        <sz val="11"/>
        <color theme="1"/>
        <rFont val="Calibri"/>
        <family val="2"/>
      </rPr>
      <t>ϒs z</t>
    </r>
  </si>
  <si>
    <r>
      <t>ko</t>
    </r>
    <r>
      <rPr>
        <i/>
        <sz val="11"/>
        <color theme="1"/>
        <rFont val="Calibri"/>
        <family val="2"/>
      </rPr>
      <t xml:space="preserve">ϒs z = </t>
    </r>
    <r>
      <rPr>
        <i/>
        <sz val="11"/>
        <color theme="1"/>
        <rFont val="Calibri"/>
        <family val="2"/>
        <scheme val="minor"/>
      </rPr>
      <t>(</t>
    </r>
  </si>
  <si>
    <t>) x (</t>
  </si>
  <si>
    <t xml:space="preserve"> lbs/ft^3) x (</t>
  </si>
  <si>
    <t xml:space="preserve"> ft) x (1/1000)</t>
  </si>
  <si>
    <t xml:space="preserve">pa = </t>
  </si>
  <si>
    <t>k/ft</t>
  </si>
  <si>
    <t>k/ft)(</t>
  </si>
  <si>
    <t>Abutment Height</t>
  </si>
  <si>
    <t>Bearings (DL)</t>
  </si>
  <si>
    <t>Bearings (LL)</t>
  </si>
  <si>
    <t>from plans</t>
  </si>
  <si>
    <r>
      <t>0.5kϒs z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</t>
    </r>
  </si>
  <si>
    <t xml:space="preserve"> k/ft x </t>
  </si>
  <si>
    <t>1.25 (DL) + 1.5(DW) + 1.75 (LL) + 1.5 (EP)</t>
  </si>
  <si>
    <t>kips/brg</t>
  </si>
  <si>
    <t xml:space="preserve"> k/brg x </t>
  </si>
  <si>
    <t xml:space="preserve"> brgs/beam x </t>
  </si>
  <si>
    <t xml:space="preserve"> beams = </t>
  </si>
  <si>
    <t>Bearings (DL):</t>
  </si>
  <si>
    <t>Bearings (LL):</t>
  </si>
  <si>
    <t>Bearings (DW):</t>
  </si>
  <si>
    <t xml:space="preserve"> k/sq ft) x (</t>
  </si>
  <si>
    <t>Approach Slab (DL):</t>
  </si>
  <si>
    <t>Approach Slab (LL):</t>
  </si>
  <si>
    <t>Approach Slab (DW):</t>
  </si>
  <si>
    <t xml:space="preserve">) x ( </t>
  </si>
  <si>
    <t>/</t>
  </si>
  <si>
    <t xml:space="preserve"> ft x  </t>
  </si>
  <si>
    <t>Pa(h):</t>
  </si>
  <si>
    <t>Pa(v):</t>
  </si>
  <si>
    <t>Cap (DC):</t>
  </si>
  <si>
    <t>(DC)Footing Components</t>
  </si>
  <si>
    <t>(LL)super Components</t>
  </si>
  <si>
    <t>Dead Load (DC) Calculations</t>
  </si>
  <si>
    <t>Stem &amp; Wings (DL):</t>
  </si>
  <si>
    <t xml:space="preserve">k = </t>
  </si>
  <si>
    <t xml:space="preserve">k </t>
  </si>
  <si>
    <t xml:space="preserve"> ft) = </t>
  </si>
  <si>
    <t xml:space="preserve">Pa(v) = </t>
  </si>
  <si>
    <r>
      <t>δ = 0.67</t>
    </r>
    <r>
      <rPr>
        <sz val="11"/>
        <color theme="1"/>
        <rFont val="Calibri"/>
        <family val="2"/>
      </rPr>
      <t>Φ</t>
    </r>
  </si>
  <si>
    <t>307.1.1</t>
  </si>
  <si>
    <r>
      <t xml:space="preserve">(Pa)sin </t>
    </r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= </t>
    </r>
  </si>
  <si>
    <t xml:space="preserve">k sin </t>
  </si>
  <si>
    <t xml:space="preserve">⁰ = </t>
  </si>
  <si>
    <t xml:space="preserve">Pa(h) = </t>
  </si>
  <si>
    <r>
      <t xml:space="preserve">(Pa)cos </t>
    </r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= </t>
    </r>
  </si>
  <si>
    <t xml:space="preserve">k cos </t>
  </si>
  <si>
    <t>Max UBV HP10x42</t>
  </si>
  <si>
    <t>C305.3.4</t>
  </si>
  <si>
    <t xml:space="preserve">UBV x No. Vert Piles = </t>
  </si>
  <si>
    <t xml:space="preserve">k x </t>
  </si>
  <si>
    <t xml:space="preserve"> Vert Piles = </t>
  </si>
  <si>
    <t>ΦVPR:</t>
  </si>
  <si>
    <t>ΦBPR(v):</t>
  </si>
  <si>
    <t>ΦBPR(h):</t>
  </si>
  <si>
    <t>k/p) x (</t>
  </si>
  <si>
    <t xml:space="preserve"> battered piles) = </t>
  </si>
  <si>
    <t>LL Surcharge: (Not to applied to Approach Slab Loads) (3.11.6.4.1)</t>
  </si>
  <si>
    <t>Δph:</t>
  </si>
  <si>
    <t>heq:</t>
  </si>
  <si>
    <t>ft (Table 3.11.6.4-1)</t>
  </si>
  <si>
    <t>k = ko:</t>
  </si>
  <si>
    <t xml:space="preserve">k ϒs heq (3.11.6.4-1) = </t>
  </si>
  <si>
    <t xml:space="preserve"> ft x 1/1000 =</t>
  </si>
  <si>
    <t xml:space="preserve">k/ft x </t>
  </si>
  <si>
    <t xml:space="preserve"> ft (L) = </t>
  </si>
  <si>
    <r>
      <rPr>
        <b/>
        <sz val="11"/>
        <color theme="1"/>
        <rFont val="Calibri"/>
        <family val="2"/>
      </rPr>
      <t xml:space="preserve">ΣFx </t>
    </r>
    <r>
      <rPr>
        <b/>
        <sz val="11"/>
        <color theme="1"/>
        <rFont val="Calibri"/>
        <family val="2"/>
        <scheme val="minor"/>
      </rPr>
      <t>Horizontal w/out Approach Slab &amp; with LL Surcharge</t>
    </r>
  </si>
  <si>
    <r>
      <rPr>
        <b/>
        <sz val="11"/>
        <color theme="1"/>
        <rFont val="Calibri"/>
        <family val="2"/>
      </rPr>
      <t xml:space="preserve">ΣM </t>
    </r>
    <r>
      <rPr>
        <b/>
        <sz val="11"/>
        <color theme="1"/>
        <rFont val="Calibri"/>
        <family val="2"/>
        <scheme val="minor"/>
      </rPr>
      <t>w/out Approach Slab &amp; with LL Surcharge</t>
    </r>
  </si>
  <si>
    <r>
      <rPr>
        <b/>
        <sz val="11"/>
        <color theme="1"/>
        <rFont val="Calibri"/>
        <family val="2"/>
      </rPr>
      <t xml:space="preserve">ΣM </t>
    </r>
    <r>
      <rPr>
        <b/>
        <sz val="11"/>
        <color theme="1"/>
        <rFont val="Calibri"/>
        <family val="2"/>
        <scheme val="minor"/>
      </rPr>
      <t>with Approach Slab &amp; without LL Surcharge</t>
    </r>
  </si>
  <si>
    <t xml:space="preserve"> k) + </t>
  </si>
  <si>
    <t xml:space="preserve"> k) = </t>
  </si>
  <si>
    <t xml:space="preserve"> k </t>
  </si>
  <si>
    <t xml:space="preserve"> kips </t>
  </si>
  <si>
    <t xml:space="preserve"> k + </t>
  </si>
  <si>
    <t xml:space="preserve"> k ) = </t>
  </si>
  <si>
    <t>DCft = 150 lbs / cu. ft. x Volume of cap (cu. ft.)</t>
  </si>
  <si>
    <t>DCbw = 150 lbs / cu. ft.  x Volume of breastwall (cu. ft.)</t>
  </si>
  <si>
    <t xml:space="preserve">DCft = </t>
  </si>
  <si>
    <t xml:space="preserve">DCbw = </t>
  </si>
  <si>
    <t xml:space="preserve">DCww = </t>
  </si>
  <si>
    <t>DCabut =</t>
  </si>
  <si>
    <t>LOAD CASE 1 - HORIZONTAL LOADS WITHOUT APPROACH SLAB AND WITH LL SURCHARGE</t>
  </si>
  <si>
    <t>δ</t>
  </si>
  <si>
    <t>Φ</t>
  </si>
  <si>
    <t>LFRD Existing Pile Analysis - BDM, AASHTO</t>
  </si>
  <si>
    <t>HOL-00083-11.960</t>
  </si>
  <si>
    <t>Self Weight of Footing (Pile Cap)</t>
  </si>
  <si>
    <t>Dcstem =</t>
  </si>
  <si>
    <t>DCbw + DCww</t>
  </si>
  <si>
    <t>DCft + Dcstem</t>
  </si>
  <si>
    <t>(from plans)</t>
  </si>
  <si>
    <t xml:space="preserve">Deck Dimensions: </t>
  </si>
  <si>
    <t>Length =</t>
  </si>
  <si>
    <t>Width =</t>
  </si>
  <si>
    <t>DCww = 150 lbs / cu. ft. x Volume of wingwall (cu. ft.)</t>
  </si>
  <si>
    <t xml:space="preserve">Lfoot = </t>
  </si>
  <si>
    <t>(Asl x 2/3) = (</t>
  </si>
  <si>
    <t xml:space="preserve"> ft</t>
  </si>
  <si>
    <t xml:space="preserve"> klf</t>
  </si>
  <si>
    <t xml:space="preserve">Design Lane Load = </t>
  </si>
  <si>
    <t>(3.6.1.2.4)</t>
  </si>
  <si>
    <t>Effective Length:</t>
  </si>
  <si>
    <r>
      <t>k/Ft</t>
    </r>
    <r>
      <rPr>
        <vertAlign val="superscript"/>
        <sz val="11"/>
        <color theme="1"/>
        <rFont val="Calibri"/>
        <family val="2"/>
        <scheme val="minor"/>
      </rPr>
      <t>3</t>
    </r>
  </si>
  <si>
    <t>.</t>
  </si>
  <si>
    <t>Approach Slab (DC):</t>
  </si>
  <si>
    <r>
      <t>k/FT</t>
    </r>
    <r>
      <rPr>
        <vertAlign val="superscript"/>
        <sz val="11"/>
        <color theme="1"/>
        <rFont val="Calibri"/>
        <family val="2"/>
        <scheme val="minor"/>
      </rPr>
      <t>^2</t>
    </r>
    <r>
      <rPr>
        <sz val="11"/>
        <color theme="1"/>
        <rFont val="Calibri"/>
        <family val="2"/>
        <scheme val="minor"/>
      </rPr>
      <t xml:space="preserve"> ) (</t>
    </r>
  </si>
  <si>
    <r>
      <t xml:space="preserve"> k/FT^</t>
    </r>
    <r>
      <rPr>
        <vertAlign val="superscript"/>
        <sz val="11"/>
        <color theme="1"/>
        <rFont val="Calibri"/>
        <family val="2"/>
        <scheme val="minor"/>
      </rPr>
      <t xml:space="preserve">3 ) = </t>
    </r>
  </si>
  <si>
    <t>Design Truck (LL):</t>
  </si>
  <si>
    <t>(3.6.1.2.2)</t>
  </si>
  <si>
    <t xml:space="preserve"> k/ft</t>
  </si>
  <si>
    <t xml:space="preserve"> k/ft ) ( </t>
  </si>
  <si>
    <t xml:space="preserve"> ft ) = </t>
  </si>
  <si>
    <t>k/FT^2 ) (</t>
  </si>
  <si>
    <r>
      <t>Δ</t>
    </r>
    <r>
      <rPr>
        <i/>
        <vertAlign val="subscript"/>
        <sz val="11"/>
        <color theme="1"/>
        <rFont val="Cambria"/>
        <family val="1"/>
      </rPr>
      <t>T</t>
    </r>
    <r>
      <rPr>
        <sz val="11"/>
        <color theme="1"/>
        <rFont val="Cambria"/>
        <family val="1"/>
      </rPr>
      <t xml:space="preserve"> = α</t>
    </r>
    <r>
      <rPr>
        <i/>
        <sz val="11"/>
        <color theme="1"/>
        <rFont val="Cambria"/>
        <family val="1"/>
      </rPr>
      <t>L</t>
    </r>
    <r>
      <rPr>
        <sz val="11"/>
        <color theme="1"/>
        <rFont val="Cambria"/>
        <family val="1"/>
      </rPr>
      <t>(</t>
    </r>
    <r>
      <rPr>
        <i/>
        <sz val="11"/>
        <color theme="1"/>
        <rFont val="Cambria"/>
        <family val="1"/>
      </rPr>
      <t>T</t>
    </r>
    <r>
      <rPr>
        <i/>
        <vertAlign val="subscript"/>
        <sz val="11"/>
        <color theme="1"/>
        <rFont val="Cambria"/>
        <family val="1"/>
      </rPr>
      <t>max</t>
    </r>
    <r>
      <rPr>
        <i/>
        <sz val="11"/>
        <color theme="1"/>
        <rFont val="Cambria"/>
        <family val="1"/>
      </rPr>
      <t xml:space="preserve"> - T</t>
    </r>
    <r>
      <rPr>
        <i/>
        <vertAlign val="subscript"/>
        <sz val="11"/>
        <color theme="1"/>
        <rFont val="Cambria"/>
        <family val="1"/>
      </rPr>
      <t>min</t>
    </r>
    <r>
      <rPr>
        <sz val="11"/>
        <color theme="1"/>
        <rFont val="Cambria"/>
        <family val="1"/>
      </rPr>
      <t>)</t>
    </r>
  </si>
  <si>
    <t>(3.12.2.3-1)</t>
  </si>
  <si>
    <t xml:space="preserve">ΔT = </t>
  </si>
  <si>
    <t>See Approach Slab Design Calcs</t>
  </si>
  <si>
    <t xml:space="preserve"> x (</t>
  </si>
  <si>
    <t xml:space="preserve">⁰ F ) = </t>
  </si>
  <si>
    <t xml:space="preserve">⁰ F (-) </t>
  </si>
  <si>
    <t xml:space="preserve"> in</t>
  </si>
  <si>
    <t>ko, ka, or kp (3.11.5.2)</t>
  </si>
  <si>
    <t xml:space="preserve">ΔT/H = </t>
  </si>
  <si>
    <t xml:space="preserve"> in / (</t>
  </si>
  <si>
    <t>(3.11.5.2)</t>
  </si>
  <si>
    <r>
      <rPr>
        <sz val="11"/>
        <color theme="1"/>
        <rFont val="Calibri"/>
        <family val="2"/>
      </rPr>
      <t>Φ'f</t>
    </r>
    <r>
      <rPr>
        <i/>
        <sz val="11"/>
        <color theme="1"/>
        <rFont val="Calibri"/>
        <family val="2"/>
      </rPr>
      <t xml:space="preserve"> (</t>
    </r>
    <r>
      <rPr>
        <i/>
        <sz val="11"/>
        <color theme="1"/>
        <rFont val="Calibri"/>
        <family val="2"/>
        <scheme val="minor"/>
      </rPr>
      <t>Friction angle)</t>
    </r>
  </si>
  <si>
    <t>ko = 1 - sin Φ'f</t>
  </si>
  <si>
    <t xml:space="preserve">ko = </t>
  </si>
  <si>
    <t xml:space="preserve"> - sin </t>
  </si>
  <si>
    <t xml:space="preserve"> lbs/ft^3 x </t>
  </si>
  <si>
    <t xml:space="preserve"> ft / </t>
  </si>
  <si>
    <t>(3.11.5.1)</t>
  </si>
  <si>
    <t xml:space="preserve">(pa) lateral earth pressure (ksf) </t>
  </si>
  <si>
    <r>
      <t>P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 0.5(</t>
    </r>
    <r>
      <rPr>
        <sz val="11"/>
        <color theme="1"/>
        <rFont val="Calibri"/>
        <family val="2"/>
        <scheme val="minor"/>
      </rPr>
      <t>pa x Habut x Labut)</t>
    </r>
  </si>
  <si>
    <r>
      <t>P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 </t>
    </r>
  </si>
  <si>
    <r>
      <t>P</t>
    </r>
    <r>
      <rPr>
        <vertAlign val="subscript"/>
        <sz val="11"/>
        <color theme="1"/>
        <rFont val="Calibri"/>
        <family val="2"/>
        <scheme val="minor"/>
      </rPr>
      <t>AV</t>
    </r>
    <r>
      <rPr>
        <sz val="11"/>
        <color theme="1"/>
        <rFont val="Calibri"/>
        <family val="2"/>
        <scheme val="minor"/>
      </rPr>
      <t xml:space="preserve"> = </t>
    </r>
  </si>
  <si>
    <t xml:space="preserve"> k ( sin </t>
  </si>
  <si>
    <t xml:space="preserve">⁰ ) = </t>
  </si>
  <si>
    <r>
      <t>P</t>
    </r>
    <r>
      <rPr>
        <vertAlign val="subscript"/>
        <sz val="11"/>
        <color theme="1"/>
        <rFont val="Calibri"/>
        <family val="2"/>
        <scheme val="minor"/>
      </rPr>
      <t>AH</t>
    </r>
    <r>
      <rPr>
        <sz val="11"/>
        <color theme="1"/>
        <rFont val="Calibri"/>
        <family val="2"/>
        <scheme val="minor"/>
      </rPr>
      <t xml:space="preserve"> = </t>
    </r>
  </si>
  <si>
    <t xml:space="preserve"> k ( cos </t>
  </si>
  <si>
    <t>(3.11.6.4.1)</t>
  </si>
  <si>
    <r>
      <t>(ϒ</t>
    </r>
    <r>
      <rPr>
        <i/>
        <vertAlign val="subscript"/>
        <sz val="11"/>
        <color theme="1"/>
        <rFont val="Calibri"/>
        <family val="2"/>
      </rPr>
      <t>s</t>
    </r>
    <r>
      <rPr>
        <i/>
        <sz val="11"/>
        <color theme="1"/>
        <rFont val="Calibri"/>
        <family val="2"/>
      </rPr>
      <t>) unit weight of soil (kcf)</t>
    </r>
  </si>
  <si>
    <r>
      <t>h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= </t>
    </r>
  </si>
  <si>
    <t>(3.11.6.4-1)</t>
  </si>
  <si>
    <t>k/pile</t>
  </si>
  <si>
    <t>PR = Pile Resistance</t>
  </si>
  <si>
    <t xml:space="preserve">ΦVPR = </t>
  </si>
  <si>
    <t xml:space="preserve"> k/pile x </t>
  </si>
  <si>
    <t xml:space="preserve"> Vertical Piles = </t>
  </si>
  <si>
    <t xml:space="preserve">ΦBPR(V) = </t>
  </si>
  <si>
    <t xml:space="preserve">ΦBPR(H) = </t>
  </si>
  <si>
    <t xml:space="preserve"> ) x </t>
  </si>
  <si>
    <t xml:space="preserve"> Battered Piles = </t>
  </si>
  <si>
    <t>LS = Live Load Surcharge</t>
  </si>
  <si>
    <t>DC:</t>
  </si>
  <si>
    <t>DW, EH:</t>
  </si>
  <si>
    <t>LL, LS:</t>
  </si>
  <si>
    <r>
      <rPr>
        <b/>
        <sz val="11"/>
        <color theme="1"/>
        <rFont val="Calibri"/>
        <family val="2"/>
      </rPr>
      <t xml:space="preserve">Φ </t>
    </r>
    <r>
      <rPr>
        <b/>
        <sz val="11"/>
        <color theme="1"/>
        <rFont val="Calibri"/>
        <family val="2"/>
        <scheme val="minor"/>
      </rPr>
      <t>Load Factors Tables 3.4.1-1 &amp; 3.4.1-2</t>
    </r>
  </si>
  <si>
    <r>
      <rPr>
        <b/>
        <sz val="11"/>
        <color theme="1"/>
        <rFont val="Calibri"/>
        <family val="2"/>
      </rPr>
      <t xml:space="preserve">(ΣFx) </t>
    </r>
    <r>
      <rPr>
        <b/>
        <sz val="11"/>
        <color theme="1"/>
        <rFont val="Calibri"/>
        <family val="2"/>
        <scheme val="minor"/>
      </rPr>
      <t>Horizontal w/out Approach Slab &amp; with LL Surcharge</t>
    </r>
  </si>
  <si>
    <t>[ΦDC + ΦDW + ΦEH + ΦLL] &lt; ΦBPR(V)</t>
  </si>
  <si>
    <r>
      <t>[ΦP</t>
    </r>
    <r>
      <rPr>
        <vertAlign val="subscript"/>
        <sz val="11"/>
        <color theme="1"/>
        <rFont val="Calibri"/>
        <family val="2"/>
        <scheme val="minor"/>
      </rPr>
      <t>AH</t>
    </r>
    <r>
      <rPr>
        <sz val="11"/>
        <color theme="1"/>
        <rFont val="Calibri"/>
        <family val="2"/>
        <scheme val="minor"/>
      </rPr>
      <t xml:space="preserve"> + ΦLS] </t>
    </r>
    <r>
      <rPr>
        <sz val="11"/>
        <color theme="1"/>
        <rFont val="Calibri"/>
        <family val="2"/>
        <scheme val="minor"/>
      </rPr>
      <t>&lt; ΦBPR(h)</t>
    </r>
  </si>
  <si>
    <t>ΦDC:</t>
  </si>
  <si>
    <t>ΦDW</t>
  </si>
  <si>
    <t>ΦEH</t>
  </si>
  <si>
    <t>ΦLL</t>
  </si>
  <si>
    <t>Service I</t>
  </si>
  <si>
    <t>Load Factor</t>
  </si>
  <si>
    <t>Unfactored Load
k/ft</t>
  </si>
  <si>
    <t>Factored Shear
k/ft</t>
  </si>
  <si>
    <t>Moment Arm
ft</t>
  </si>
  <si>
    <t>Factored Moment
k-ft/ft</t>
  </si>
  <si>
    <t>DCstem</t>
  </si>
  <si>
    <t>DCsuper</t>
  </si>
  <si>
    <t>EPstem</t>
  </si>
  <si>
    <t>EH (at rest)</t>
  </si>
  <si>
    <t>Tx (slip)</t>
  </si>
  <si>
    <t>LL + IM</t>
  </si>
  <si>
    <t>LS</t>
  </si>
  <si>
    <t xml:space="preserve">Mu = </t>
  </si>
  <si>
    <r>
      <t xml:space="preserve">LOAD CASE 3 - </t>
    </r>
    <r>
      <rPr>
        <b/>
        <sz val="10"/>
        <rFont val="Calibri"/>
        <family val="2"/>
      </rPr>
      <t>Σ</t>
    </r>
    <r>
      <rPr>
        <b/>
        <i/>
        <sz val="10"/>
        <rFont val="Arial"/>
        <family val="2"/>
      </rPr>
      <t>MOMENTS WITHOUT APPROACH SLAB AND WITH LL SURCHARGE</t>
    </r>
  </si>
  <si>
    <r>
      <rPr>
        <b/>
        <sz val="10"/>
        <rFont val="Calibri"/>
        <family val="2"/>
      </rPr>
      <t>Σ</t>
    </r>
    <r>
      <rPr>
        <b/>
        <i/>
        <sz val="10"/>
        <rFont val="Arial"/>
        <family val="2"/>
      </rPr>
      <t>MOMENT DIAGRAM</t>
    </r>
  </si>
  <si>
    <t>Strength I</t>
  </si>
  <si>
    <t>DCft</t>
  </si>
  <si>
    <t>DCbrg</t>
  </si>
  <si>
    <t>PAV</t>
  </si>
  <si>
    <t>PAH</t>
  </si>
  <si>
    <t>LLbrg</t>
  </si>
  <si>
    <t>DWbrg</t>
  </si>
  <si>
    <r>
      <t xml:space="preserve">LOAD CASE 4 - </t>
    </r>
    <r>
      <rPr>
        <b/>
        <sz val="10"/>
        <rFont val="Calibri"/>
        <family val="2"/>
      </rPr>
      <t>Σ</t>
    </r>
    <r>
      <rPr>
        <b/>
        <i/>
        <sz val="10"/>
        <rFont val="Arial"/>
        <family val="2"/>
      </rPr>
      <t>MOMENTS WITH APPROACH SLAB AND WITHOUT LL SURCHARGE</t>
    </r>
  </si>
  <si>
    <t>DCas</t>
  </si>
  <si>
    <t>DWas</t>
  </si>
  <si>
    <t>LLas</t>
  </si>
  <si>
    <t>Pile Capacity Analysis</t>
  </si>
  <si>
    <t>RPT</t>
  </si>
  <si>
    <t>(DC)Stem Components (Forward Abutment)</t>
  </si>
  <si>
    <t xml:space="preserve"> kip</t>
  </si>
  <si>
    <t xml:space="preserve"> kip + </t>
  </si>
  <si>
    <t xml:space="preserve"> kip = </t>
  </si>
  <si>
    <t>Loads From Bearings</t>
  </si>
  <si>
    <t>Future Wearing Surface</t>
  </si>
  <si>
    <t>Unit Weight:</t>
  </si>
  <si>
    <t>FWS:</t>
  </si>
  <si>
    <t>C305.3.3</t>
  </si>
  <si>
    <t>Total Factored Pile Resistance:</t>
  </si>
  <si>
    <t>Vertical =</t>
  </si>
  <si>
    <t>Horizontal =</t>
  </si>
  <si>
    <t xml:space="preserve"> k = </t>
  </si>
  <si>
    <t>(C307.1.1, 3.11.1, 3.1.5.1, 3.11.5.2, &amp; Table C.3.11.1.1)</t>
  </si>
  <si>
    <t>, Use (ko)</t>
  </si>
  <si>
    <t>(307.1)</t>
  </si>
  <si>
    <t>LOAD CASE 2 - (ΣFv) VERTICAL LOADS WITH APPROACH SLAB AND WITHOUT LL SURCHARGE</t>
  </si>
  <si>
    <r>
      <t>LS</t>
    </r>
    <r>
      <rPr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= Ko x ΔpH = </t>
    </r>
  </si>
  <si>
    <t>Abutment Height (ft)</t>
  </si>
  <si>
    <r>
      <t>h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(ft)</t>
    </r>
  </si>
  <si>
    <t>Table 3.11.6.4-1</t>
  </si>
  <si>
    <t>≥</t>
  </si>
  <si>
    <r>
      <t>Δ</t>
    </r>
    <r>
      <rPr>
        <vertAlign val="subscript"/>
        <sz val="11"/>
        <color theme="1"/>
        <rFont val="Calibri"/>
        <family val="2"/>
      </rPr>
      <t>pH</t>
    </r>
    <r>
      <rPr>
        <sz val="11"/>
        <color theme="1"/>
        <rFont val="Calibri"/>
        <family val="2"/>
      </rPr>
      <t xml:space="preserve"> =  ϒ</t>
    </r>
    <r>
      <rPr>
        <vertAlign val="subscript"/>
        <sz val="11"/>
        <color theme="1"/>
        <rFont val="Calibri"/>
        <family val="2"/>
      </rPr>
      <t>s</t>
    </r>
    <r>
      <rPr>
        <sz val="11"/>
        <color theme="1"/>
        <rFont val="Calibri"/>
        <family val="2"/>
      </rPr>
      <t>h</t>
    </r>
    <r>
      <rPr>
        <vertAlign val="subscript"/>
        <sz val="11"/>
        <color theme="1"/>
        <rFont val="Calibri"/>
        <family val="2"/>
      </rPr>
      <t>eq</t>
    </r>
    <r>
      <rPr>
        <sz val="11"/>
        <color theme="1"/>
        <rFont val="Calibri"/>
        <family val="2"/>
      </rPr>
      <t xml:space="preserve"> x Labut = </t>
    </r>
  </si>
  <si>
    <t xml:space="preserve">k-ft </t>
  </si>
  <si>
    <r>
      <t>Moment Resistance = PR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(5 Vert. Pile) x 2.0 ft + PR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(4 Battered Piles) x 2.0 ft</t>
    </r>
  </si>
  <si>
    <t xml:space="preserve">Moment Resistance = </t>
  </si>
  <si>
    <t xml:space="preserve"> k-ft</t>
  </si>
  <si>
    <t xml:space="preserve">k x  </t>
  </si>
  <si>
    <t xml:space="preserve"> ft ) + ( </t>
  </si>
  <si>
    <t>Seismic Design</t>
  </si>
  <si>
    <t>(4.7.4.2)</t>
  </si>
  <si>
    <t>Ss</t>
  </si>
  <si>
    <t>Figure 3.10.2.1-2</t>
  </si>
  <si>
    <t>Figure 3.10.2.1-1</t>
  </si>
  <si>
    <t>Site Class</t>
  </si>
  <si>
    <t>Peak Ground Acceleration Coefficient (PGA)</t>
  </si>
  <si>
    <t>PGA &lt; 0.10</t>
  </si>
  <si>
    <t>PGA &lt; 0.20</t>
  </si>
  <si>
    <t>PGA &lt; 0.30</t>
  </si>
  <si>
    <t>PGA &lt; 0.40</t>
  </si>
  <si>
    <t>PGA &lt; 0.50</t>
  </si>
  <si>
    <t>A</t>
  </si>
  <si>
    <t>B</t>
  </si>
  <si>
    <t>C</t>
  </si>
  <si>
    <t>D</t>
  </si>
  <si>
    <t>E</t>
  </si>
  <si>
    <r>
      <t>F</t>
    </r>
    <r>
      <rPr>
        <vertAlign val="superscript"/>
        <sz val="11"/>
        <color theme="1"/>
        <rFont val="Calibri"/>
        <family val="2"/>
        <scheme val="minor"/>
      </rPr>
      <t>2</t>
    </r>
  </si>
  <si>
    <t>Use Site Class D (1003.14)</t>
  </si>
  <si>
    <t>*</t>
  </si>
  <si>
    <t>Seismic Analysis not reqiuired for single span bridge.</t>
  </si>
  <si>
    <t>Table 3.10.3.2-2—Values of Site Factor,  Fa, for Short-Period on Acceleration Spectrum</t>
  </si>
  <si>
    <t>Table 3.10.3.2-1—Values of Site Factor, Fpga, at Zero-Period on Acceleration Spectrum</t>
  </si>
  <si>
    <t>PGA</t>
  </si>
  <si>
    <t xml:space="preserve">As = Fpga x PGA = </t>
  </si>
  <si>
    <t>(3.10.4.2-2)</t>
  </si>
  <si>
    <t xml:space="preserve">SDS = Fa x SS = </t>
  </si>
  <si>
    <t>(3.10.4.2-3)</t>
  </si>
  <si>
    <t>4.7.4.4—Minimum Support Length Requirements</t>
  </si>
  <si>
    <t>N = (8 + 0.02L + 0.08H)(1 + 0.000125S^2)  (4.7.4.4-1)</t>
  </si>
  <si>
    <t>%N</t>
  </si>
  <si>
    <t>(TABLE 4.7.4.4-1)</t>
  </si>
  <si>
    <t xml:space="preserve">Skew </t>
  </si>
  <si>
    <t xml:space="preserve"> ft ) + </t>
  </si>
  <si>
    <t xml:space="preserve">  ) ( </t>
  </si>
  <si>
    <t>⁰^</t>
  </si>
  <si>
    <t>N(min) =</t>
  </si>
  <si>
    <t>N(min) = %N x N</t>
  </si>
  <si>
    <t>N(Actual) =</t>
  </si>
  <si>
    <t>in</t>
  </si>
  <si>
    <t>Combined Weight of DCstem</t>
  </si>
  <si>
    <t>For bearings without directional seismic restraint, design for the horizontal connection force is not required (1014.7)</t>
  </si>
  <si>
    <t>Total Superstructure Dead Load (DL)</t>
  </si>
  <si>
    <t xml:space="preserve">Total DL = </t>
  </si>
  <si>
    <t>Horizontal Seismic Force (HSF)</t>
  </si>
  <si>
    <t xml:space="preserve">HSF = </t>
  </si>
  <si>
    <t xml:space="preserve"> x Total DL = </t>
  </si>
  <si>
    <t>Assume, HSF is equally resisted by each abutment, therefore calculate the Horizontal Design Force (V)</t>
  </si>
  <si>
    <t xml:space="preserve">HSF / 2 Abuments = </t>
  </si>
  <si>
    <t xml:space="preserve"> k / </t>
  </si>
  <si>
    <t>Abutments</t>
  </si>
  <si>
    <t>H =</t>
  </si>
  <si>
    <t>L =</t>
  </si>
  <si>
    <t>S =</t>
  </si>
  <si>
    <t>(4.7.4.4)</t>
  </si>
  <si>
    <t>HOL-179-03.950 - Calculations</t>
  </si>
  <si>
    <t>MAX. UBV</t>
  </si>
  <si>
    <t>CIP OR PILE</t>
  </si>
  <si>
    <t>HP10X42</t>
  </si>
  <si>
    <t>HP12X53</t>
  </si>
  <si>
    <t>HP14X73</t>
  </si>
  <si>
    <t>Max UBV</t>
  </si>
  <si>
    <t>Pile Type</t>
  </si>
  <si>
    <t>12" CIP</t>
  </si>
  <si>
    <t>14" CIP</t>
  </si>
  <si>
    <t>16" CIP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</si>
</sst>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0\'"/>
    <numFmt numFmtId="165" formatCode="0.000\'"/>
    <numFmt numFmtId="166" formatCode="&quot; - &quot;0.#########&quot;''&quot;"/>
    <numFmt numFmtId="167" formatCode="#.####\ &quot;lbs/cu.ft.&quot;"/>
    <numFmt numFmtId="168" formatCode="&quot;x&quot;\ 0.00\ &quot;cu. ft.&quot;"/>
    <numFmt numFmtId="169" formatCode="&quot;x&quot;\ 0\ &quot;cu. ft.&quot;"/>
    <numFmt numFmtId="170" formatCode="0.00\ \k\i\p"/>
    <numFmt numFmtId="171" formatCode="0.000"/>
    <numFmt numFmtId="172" formatCode="0.0\'"/>
    <numFmt numFmtId="173" formatCode="0.##########\'"/>
    <numFmt numFmtId="174" formatCode="&quot; - &quot;0.#########&quot;''&quot;\)"/>
    <numFmt numFmtId="175" formatCode="0.0"/>
    <numFmt numFmtId="176" formatCode="0.##\ \k\i\p"/>
    <numFmt numFmtId="177" formatCode="0.0\ \k\i\p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mbria"/>
      <family val="1"/>
    </font>
    <font>
      <i/>
      <vertAlign val="subscript"/>
      <sz val="11"/>
      <color theme="1"/>
      <name val="Cambria"/>
      <family val="1"/>
    </font>
    <font>
      <i/>
      <sz val="11"/>
      <color theme="1"/>
      <name val="Cambria"/>
      <family val="1"/>
    </font>
    <font>
      <vertAlign val="subscript"/>
      <sz val="11"/>
      <color theme="1"/>
      <name val="Calibri"/>
      <family val="2"/>
    </font>
    <font>
      <i/>
      <vertAlign val="subscript"/>
      <sz val="11"/>
      <color theme="1"/>
      <name val="Calibri"/>
      <family val="2"/>
    </font>
    <font>
      <sz val="11"/>
      <name val="Calibri"/>
      <family val="2"/>
      <scheme val="minor"/>
    </font>
    <font>
      <b/>
      <sz val="10"/>
      <name val="Calibri"/>
      <family val="2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996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3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4" fillId="0" borderId="0" xfId="1" applyFont="1"/>
    <xf numFmtId="0" fontId="2" fillId="0" borderId="0" xfId="1" applyAlignment="1">
      <alignment horizontal="right"/>
    </xf>
    <xf numFmtId="164" fontId="2" fillId="2" borderId="0" xfId="1" applyNumberFormat="1" applyFill="1" applyAlignment="1">
      <alignment horizontal="center"/>
    </xf>
    <xf numFmtId="165" fontId="2" fillId="0" borderId="0" xfId="1" applyNumberFormat="1"/>
    <xf numFmtId="166" fontId="2" fillId="0" borderId="0" xfId="1" applyNumberFormat="1" applyAlignment="1">
      <alignment horizontal="center"/>
    </xf>
    <xf numFmtId="0" fontId="2" fillId="2" borderId="0" xfId="1" applyFill="1"/>
    <xf numFmtId="2" fontId="2" fillId="0" borderId="0" xfId="1" applyNumberFormat="1"/>
    <xf numFmtId="169" fontId="2" fillId="0" borderId="0" xfId="1" applyNumberFormat="1"/>
    <xf numFmtId="0" fontId="2" fillId="0" borderId="0" xfId="1" applyAlignment="1">
      <alignment vertical="top" wrapText="1"/>
    </xf>
    <xf numFmtId="172" fontId="2" fillId="2" borderId="0" xfId="1" applyNumberFormat="1" applyFill="1"/>
    <xf numFmtId="173" fontId="2" fillId="2" borderId="0" xfId="1" applyNumberFormat="1" applyFill="1" applyAlignment="1">
      <alignment horizontal="left"/>
    </xf>
    <xf numFmtId="173" fontId="2" fillId="0" borderId="0" xfId="1" applyNumberFormat="1"/>
    <xf numFmtId="164" fontId="2" fillId="0" borderId="0" xfId="1" applyNumberFormat="1"/>
    <xf numFmtId="174" fontId="2" fillId="0" borderId="0" xfId="1" applyNumberFormat="1" applyAlignment="1">
      <alignment horizontal="left"/>
    </xf>
    <xf numFmtId="2" fontId="2" fillId="0" borderId="0" xfId="1" applyNumberFormat="1" applyAlignment="1">
      <alignment horizontal="center"/>
    </xf>
    <xf numFmtId="175" fontId="2" fillId="0" borderId="0" xfId="1" applyNumberFormat="1"/>
    <xf numFmtId="0" fontId="2" fillId="0" borderId="0" xfId="1" applyAlignment="1">
      <alignment horizontal="left"/>
    </xf>
    <xf numFmtId="170" fontId="2" fillId="0" borderId="0" xfId="1" applyNumberFormat="1"/>
    <xf numFmtId="176" fontId="2" fillId="0" borderId="0" xfId="1" applyNumberFormat="1" applyAlignment="1">
      <alignment horizontal="left"/>
    </xf>
    <xf numFmtId="175" fontId="2" fillId="0" borderId="0" xfId="1" applyNumberFormat="1" applyAlignment="1">
      <alignment horizontal="center"/>
    </xf>
    <xf numFmtId="175" fontId="2" fillId="0" borderId="0" xfId="1" applyNumberFormat="1" applyAlignment="1">
      <alignment horizontal="left"/>
    </xf>
    <xf numFmtId="2" fontId="2" fillId="0" borderId="0" xfId="1" applyNumberFormat="1" applyAlignment="1">
      <alignment horizontal="left"/>
    </xf>
    <xf numFmtId="0" fontId="3" fillId="0" borderId="0" xfId="1" applyFont="1" applyAlignment="1">
      <alignment horizontal="right"/>
    </xf>
    <xf numFmtId="9" fontId="3" fillId="0" borderId="0" xfId="1" applyNumberFormat="1" applyFont="1"/>
    <xf numFmtId="0" fontId="1" fillId="0" borderId="0" xfId="0" applyFont="1"/>
    <xf numFmtId="0" fontId="0" fillId="3" borderId="0" xfId="0" applyFill="1"/>
    <xf numFmtId="0" fontId="1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/>
    <xf numFmtId="0" fontId="0" fillId="0" borderId="0" xfId="0" applyAlignment="1">
      <alignment horizontal="left"/>
    </xf>
    <xf numFmtId="0" fontId="8" fillId="5" borderId="0" xfId="0" applyFont="1" applyFill="1"/>
    <xf numFmtId="0" fontId="0" fillId="6" borderId="0" xfId="0" applyFill="1"/>
    <xf numFmtId="0" fontId="2" fillId="0" borderId="0" xfId="1" quotePrefix="1"/>
    <xf numFmtId="0" fontId="2" fillId="7" borderId="0" xfId="1" applyFill="1"/>
    <xf numFmtId="0" fontId="11" fillId="0" borderId="0" xfId="2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right"/>
    </xf>
    <xf numFmtId="0" fontId="11" fillId="3" borderId="1" xfId="1" applyFont="1" applyFill="1" applyBorder="1" applyAlignment="1" applyProtection="1">
      <alignment horizontal="center"/>
      <protection locked="0"/>
    </xf>
    <xf numFmtId="0" fontId="10" fillId="0" borderId="0" xfId="1" applyFont="1"/>
    <xf numFmtId="14" fontId="11" fillId="3" borderId="1" xfId="1" applyNumberFormat="1" applyFont="1" applyFill="1" applyBorder="1" applyAlignment="1">
      <alignment horizontal="center"/>
    </xf>
    <xf numFmtId="0" fontId="0" fillId="8" borderId="0" xfId="0" applyFill="1"/>
    <xf numFmtId="0" fontId="11" fillId="3" borderId="0" xfId="1" applyFont="1" applyFill="1" applyAlignment="1" applyProtection="1">
      <alignment horizontal="left"/>
      <protection locked="0"/>
    </xf>
    <xf numFmtId="0" fontId="11" fillId="0" borderId="0" xfId="1" applyFont="1" applyAlignment="1">
      <alignment horizontal="left"/>
    </xf>
    <xf numFmtId="0" fontId="11" fillId="3" borderId="1" xfId="1" applyFont="1" applyFill="1" applyBorder="1" applyAlignment="1">
      <alignment horizontal="center"/>
    </xf>
    <xf numFmtId="0" fontId="10" fillId="3" borderId="0" xfId="1" applyFont="1" applyFill="1" applyAlignment="1">
      <alignment horizontal="center"/>
    </xf>
    <xf numFmtId="0" fontId="12" fillId="0" borderId="0" xfId="0" applyFont="1"/>
    <xf numFmtId="0" fontId="10" fillId="0" borderId="1" xfId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0" fillId="9" borderId="0" xfId="0" applyFill="1"/>
    <xf numFmtId="0" fontId="0" fillId="10" borderId="0" xfId="0" applyFill="1"/>
    <xf numFmtId="2" fontId="0" fillId="0" borderId="0" xfId="0" applyNumberFormat="1"/>
    <xf numFmtId="170" fontId="0" fillId="10" borderId="0" xfId="0" applyNumberFormat="1" applyFill="1"/>
    <xf numFmtId="0" fontId="13" fillId="0" borderId="0" xfId="0" applyFont="1"/>
    <xf numFmtId="0" fontId="14" fillId="0" borderId="0" xfId="0" applyFont="1"/>
    <xf numFmtId="0" fontId="9" fillId="0" borderId="0" xfId="0" applyFont="1"/>
    <xf numFmtId="0" fontId="0" fillId="5" borderId="0" xfId="0" applyFill="1"/>
    <xf numFmtId="0" fontId="3" fillId="0" borderId="0" xfId="1" applyFont="1" applyAlignment="1">
      <alignment horizontal="center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  <xf numFmtId="170" fontId="2" fillId="0" borderId="0" xfId="1" applyNumberFormat="1" applyAlignment="1">
      <alignment horizontal="left"/>
    </xf>
    <xf numFmtId="175" fontId="0" fillId="10" borderId="0" xfId="0" applyNumberFormat="1" applyFill="1"/>
    <xf numFmtId="0" fontId="16" fillId="0" borderId="0" xfId="0" applyFont="1"/>
    <xf numFmtId="0" fontId="16" fillId="0" borderId="0" xfId="0" applyFont="1" applyAlignment="1">
      <alignment horizontal="right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2" fontId="0" fillId="3" borderId="0" xfId="0" applyNumberFormat="1" applyFill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/>
    <xf numFmtId="0" fontId="21" fillId="5" borderId="8" xfId="0" applyFont="1" applyFill="1" applyBorder="1" applyAlignment="1">
      <alignment horizontal="center"/>
    </xf>
    <xf numFmtId="0" fontId="21" fillId="5" borderId="9" xfId="0" applyFont="1" applyFill="1" applyBorder="1" applyAlignment="1">
      <alignment horizontal="center"/>
    </xf>
    <xf numFmtId="2" fontId="21" fillId="5" borderId="10" xfId="0" applyNumberFormat="1" applyFont="1" applyFill="1" applyBorder="1" applyAlignment="1">
      <alignment horizontal="center"/>
    </xf>
    <xf numFmtId="2" fontId="21" fillId="5" borderId="13" xfId="0" applyNumberFormat="1" applyFont="1" applyFill="1" applyBorder="1" applyAlignment="1">
      <alignment horizontal="center"/>
    </xf>
    <xf numFmtId="2" fontId="21" fillId="5" borderId="8" xfId="0" applyNumberFormat="1" applyFont="1" applyFill="1" applyBorder="1" applyAlignment="1">
      <alignment horizontal="center"/>
    </xf>
    <xf numFmtId="2" fontId="21" fillId="5" borderId="16" xfId="0" applyNumberFormat="1" applyFon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2" fontId="0" fillId="5" borderId="12" xfId="0" applyNumberFormat="1" applyFill="1" applyBorder="1" applyAlignment="1">
      <alignment horizontal="center"/>
    </xf>
    <xf numFmtId="2" fontId="0" fillId="5" borderId="15" xfId="0" applyNumberFormat="1" applyFill="1" applyBorder="1" applyAlignment="1">
      <alignment horizontal="center"/>
    </xf>
    <xf numFmtId="0" fontId="21" fillId="5" borderId="16" xfId="0" applyFont="1" applyFill="1" applyBorder="1" applyAlignment="1">
      <alignment horizontal="center"/>
    </xf>
    <xf numFmtId="2" fontId="21" fillId="5" borderId="17" xfId="0" applyNumberFormat="1" applyFont="1" applyFill="1" applyBorder="1" applyAlignment="1">
      <alignment horizontal="center"/>
    </xf>
    <xf numFmtId="0" fontId="1" fillId="0" borderId="18" xfId="0" applyFont="1" applyBorder="1" applyAlignment="1">
      <alignment horizontal="right"/>
    </xf>
    <xf numFmtId="2" fontId="0" fillId="5" borderId="19" xfId="0" applyNumberFormat="1" applyFill="1" applyBorder="1" applyAlignment="1">
      <alignment horizontal="center"/>
    </xf>
    <xf numFmtId="2" fontId="21" fillId="5" borderId="20" xfId="0" applyNumberFormat="1" applyFont="1" applyFill="1" applyBorder="1" applyAlignment="1">
      <alignment horizontal="center"/>
    </xf>
    <xf numFmtId="0" fontId="21" fillId="5" borderId="20" xfId="0" applyFont="1" applyFill="1" applyBorder="1" applyAlignment="1">
      <alignment horizontal="center"/>
    </xf>
    <xf numFmtId="177" fontId="0" fillId="10" borderId="0" xfId="0" applyNumberFormat="1" applyFill="1"/>
    <xf numFmtId="0" fontId="12" fillId="0" borderId="1" xfId="0" applyFont="1" applyBorder="1" applyAlignment="1">
      <alignment horizontal="center"/>
    </xf>
    <xf numFmtId="175" fontId="9" fillId="0" borderId="21" xfId="0" applyNumberFormat="1" applyFont="1" applyBorder="1" applyAlignment="1">
      <alignment horizontal="right"/>
    </xf>
    <xf numFmtId="175" fontId="0" fillId="0" borderId="12" xfId="0" applyNumberFormat="1" applyBorder="1" applyAlignment="1">
      <alignment horizontal="left"/>
    </xf>
    <xf numFmtId="0" fontId="0" fillId="11" borderId="0" xfId="0" applyFill="1"/>
    <xf numFmtId="10" fontId="0" fillId="3" borderId="0" xfId="3" applyNumberFormat="1" applyFont="1" applyFill="1"/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10" fontId="0" fillId="0" borderId="0" xfId="0" applyNumberFormat="1"/>
    <xf numFmtId="9" fontId="0" fillId="0" borderId="0" xfId="3" applyFont="1" applyFill="1"/>
    <xf numFmtId="0" fontId="23" fillId="0" borderId="0" xfId="0" applyFont="1"/>
    <xf numFmtId="0" fontId="23" fillId="12" borderId="0" xfId="0" applyFont="1" applyFill="1"/>
    <xf numFmtId="0" fontId="23" fillId="3" borderId="0" xfId="0" applyFont="1" applyFill="1"/>
    <xf numFmtId="0" fontId="0" fillId="0" borderId="8" xfId="0" applyBorder="1"/>
    <xf numFmtId="0" fontId="0" fillId="0" borderId="8" xfId="0" applyBorder="1" applyAlignment="1">
      <alignment wrapText="1"/>
    </xf>
    <xf numFmtId="2" fontId="2" fillId="0" borderId="0" xfId="1" applyNumberFormat="1" applyAlignment="1">
      <alignment horizontal="left"/>
    </xf>
    <xf numFmtId="0" fontId="4" fillId="0" borderId="0" xfId="1" applyFont="1" applyAlignment="1">
      <alignment horizontal="center"/>
    </xf>
    <xf numFmtId="165" fontId="2" fillId="2" borderId="0" xfId="1" applyNumberFormat="1" applyFill="1" applyAlignment="1">
      <alignment horizontal="center"/>
    </xf>
    <xf numFmtId="167" fontId="2" fillId="0" borderId="0" xfId="1" applyNumberFormat="1" applyAlignment="1">
      <alignment horizontal="center"/>
    </xf>
    <xf numFmtId="168" fontId="2" fillId="0" borderId="0" xfId="1" applyNumberFormat="1" applyAlignment="1">
      <alignment horizontal="center"/>
    </xf>
    <xf numFmtId="170" fontId="2" fillId="0" borderId="0" xfId="1" applyNumberFormat="1" applyAlignment="1">
      <alignment horizontal="left"/>
    </xf>
    <xf numFmtId="171" fontId="2" fillId="2" borderId="0" xfId="1" applyNumberFormat="1" applyFill="1" applyAlignment="1">
      <alignment horizontal="center"/>
    </xf>
    <xf numFmtId="0" fontId="2" fillId="0" borderId="0" xfId="1" applyAlignment="1">
      <alignment horizontal="left" vertical="top" wrapText="1"/>
    </xf>
    <xf numFmtId="171" fontId="2" fillId="0" borderId="0" xfId="1" applyNumberFormat="1" applyAlignment="1">
      <alignment horizontal="center"/>
    </xf>
    <xf numFmtId="173" fontId="2" fillId="0" borderId="0" xfId="1" applyNumberFormat="1" applyAlignment="1">
      <alignment horizontal="center"/>
    </xf>
    <xf numFmtId="176" fontId="2" fillId="0" borderId="0" xfId="1" applyNumberFormat="1" applyAlignment="1">
      <alignment horizontal="left"/>
    </xf>
    <xf numFmtId="175" fontId="2" fillId="2" borderId="0" xfId="1" applyNumberFormat="1" applyFill="1" applyAlignment="1">
      <alignment horizontal="center"/>
    </xf>
    <xf numFmtId="0" fontId="2" fillId="0" borderId="0" xfId="1" applyAlignment="1">
      <alignment horizontal="left"/>
    </xf>
    <xf numFmtId="170" fontId="2" fillId="0" borderId="0" xfId="1" applyNumberFormat="1" applyAlignment="1">
      <alignment horizontal="center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176" fontId="2" fillId="0" borderId="0" xfId="1" applyNumberFormat="1" applyAlignment="1">
      <alignment horizontal="center"/>
    </xf>
    <xf numFmtId="0" fontId="2" fillId="2" borderId="0" xfId="1" applyFill="1" applyAlignment="1">
      <alignment horizontal="center"/>
    </xf>
    <xf numFmtId="2" fontId="3" fillId="0" borderId="0" xfId="1" applyNumberFormat="1" applyFont="1" applyAlignment="1">
      <alignment horizontal="center"/>
    </xf>
    <xf numFmtId="0" fontId="3" fillId="2" borderId="0" xfId="1" applyFont="1" applyFill="1" applyAlignment="1">
      <alignment horizontal="center"/>
    </xf>
    <xf numFmtId="0" fontId="10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177" fontId="2" fillId="0" borderId="0" xfId="1" applyNumberFormat="1" applyAlignment="1">
      <alignment horizontal="left"/>
    </xf>
    <xf numFmtId="175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</cellXfs>
  <cellStyles count="4">
    <cellStyle name="Normal" xfId="0" builtinId="0"/>
    <cellStyle name="Normal 2" xfId="1" xr:uid="{83E70067-3041-484F-A4D6-DE6E05149B80}"/>
    <cellStyle name="Normal 3" xfId="2" xr:uid="{D7F1A4C7-C81E-409D-982F-1C4F4B8FDCB2}"/>
    <cellStyle name="Percent" xfId="3" builtinId="5"/>
  </cellStyles>
  <dxfs count="15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3" name="Picture 2" descr="ODOT Zephyr">
          <a:extLst>
            <a:ext uri="{FF2B5EF4-FFF2-40B4-BE49-F238E27FC236}">
              <a16:creationId xmlns:a16="http://schemas.microsoft.com/office/drawing/2014/main" id="{3844410B-5402-4F0F-89BE-1ED2FE2F2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66675</xdr:rowOff>
    </xdr:from>
    <xdr:to>
      <xdr:col>10</xdr:col>
      <xdr:colOff>391430</xdr:colOff>
      <xdr:row>48</xdr:row>
      <xdr:rowOff>143976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698718E-65A6-4FBE-AEEC-BFF882C2B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66825"/>
          <a:ext cx="6487430" cy="7887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09F9A6F0-123C-47AA-8FF6-48C4B704D7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E7917E1B-0A3C-44EF-AC0D-B160488BD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1D3CA20A-D2C4-447C-9B92-E66D5D9A4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F4AE1CD9-61AA-44BE-B749-491AE4F70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1656A5F0-41DF-4D24-9EFB-7E2E20A68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18CACB4F-8722-4028-9EC0-7B0D011C18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121</xdr:row>
      <xdr:rowOff>47625</xdr:rowOff>
    </xdr:from>
    <xdr:to>
      <xdr:col>10</xdr:col>
      <xdr:colOff>48482</xdr:colOff>
      <xdr:row>138</xdr:row>
      <xdr:rowOff>152867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F0BA0B-50A1-49F1-A789-B04C7ACC3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126075"/>
          <a:ext cx="6144482" cy="334374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95250</xdr:colOff>
      <xdr:row>3</xdr:row>
      <xdr:rowOff>133350</xdr:rowOff>
    </xdr:to>
    <xdr:pic>
      <xdr:nvPicPr>
        <xdr:cNvPr id="2" name="Picture 1" descr="ODOT Zephyr">
          <a:extLst>
            <a:ext uri="{FF2B5EF4-FFF2-40B4-BE49-F238E27FC236}">
              <a16:creationId xmlns:a16="http://schemas.microsoft.com/office/drawing/2014/main" id="{4A082905-085F-42AC-B7C5-91D22F54C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48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clark3\appdata\local\bentley\projectwise\workingdir\ohiodot-pw.bentley.com_ohiodot-pw-02\michael.clark@dot.ohio.gov\d0512215\108525_Abutment%20Stem%20Design.xlsx" TargetMode="External"/><Relationship Id="rId1" Type="http://schemas.openxmlformats.org/officeDocument/2006/relationships/externalLinkPath" Target="108525_Abutment%20Stem%20Desig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rojectData\108143\Design\Structures\TUS416_0478C\EngData\bridge_dgn_1.4_FWS_30-TE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rojectData\108143\Design\Structures\TUS416_0478C\EngData\108143_Approach%20Slab%20Minimum%20Desig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emDesign_PartA"/>
      <sheetName val="StemDesign_Part B"/>
      <sheetName val="rebar table"/>
      <sheetName val="Calcs"/>
    </sheetNames>
    <sheetDataSet>
      <sheetData sheetId="0">
        <row r="86">
          <cell r="W86">
            <v>0.75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-Span Conc Deck Slab Reactions"/>
      <sheetName val="Abutment Pile Loading"/>
      <sheetName val="Pier Pile Loading"/>
    </sheetNames>
    <sheetDataSet>
      <sheetData sheetId="0">
        <row r="35">
          <cell r="Q35">
            <v>127.41017547224997</v>
          </cell>
        </row>
        <row r="57">
          <cell r="U57">
            <v>106.88256000000001</v>
          </cell>
        </row>
        <row r="79">
          <cell r="U79">
            <v>121.6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 Min Length"/>
      <sheetName val="AS Type"/>
    </sheetNames>
    <sheetDataSet>
      <sheetData sheetId="0">
        <row r="2">
          <cell r="C2" t="str">
            <v>TUS-00416-04.73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638EE-DC41-444F-86EB-94337D459AEC}">
  <sheetPr>
    <pageSetUpPr fitToPage="1"/>
  </sheetPr>
  <dimension ref="A1:Z62"/>
  <sheetViews>
    <sheetView view="pageBreakPreview" zoomScaleNormal="100" workbookViewId="0"/>
  </sheetViews>
  <sheetFormatPr defaultRowHeight="12.75" x14ac:dyDescent="0.2"/>
  <cols>
    <col min="1" max="1" width="25.5703125" style="2" customWidth="1"/>
    <col min="2" max="2" width="9.140625" style="2"/>
    <col min="3" max="3" width="5.85546875" style="2" customWidth="1"/>
    <col min="4" max="4" width="2.7109375" style="3" customWidth="1"/>
    <col min="5" max="5" width="4" style="2" customWidth="1"/>
    <col min="6" max="6" width="2.7109375" style="2" customWidth="1"/>
    <col min="7" max="7" width="2" style="2" bestFit="1" customWidth="1"/>
    <col min="8" max="8" width="10.85546875" style="2" bestFit="1" customWidth="1"/>
    <col min="9" max="9" width="3.5703125" style="2" customWidth="1"/>
    <col min="10" max="10" width="8.7109375" style="2" bestFit="1" customWidth="1"/>
    <col min="11" max="11" width="3.28515625" style="2" bestFit="1" customWidth="1"/>
    <col min="12" max="12" width="4.140625" style="2" bestFit="1" customWidth="1"/>
    <col min="13" max="13" width="10.28515625" style="2" bestFit="1" customWidth="1"/>
    <col min="14" max="256" width="9.140625" style="2"/>
    <col min="257" max="257" width="25.5703125" style="2" customWidth="1"/>
    <col min="258" max="258" width="9.140625" style="2"/>
    <col min="259" max="259" width="5.85546875" style="2" customWidth="1"/>
    <col min="260" max="260" width="2.7109375" style="2" customWidth="1"/>
    <col min="261" max="261" width="4" style="2" customWidth="1"/>
    <col min="262" max="262" width="2.7109375" style="2" customWidth="1"/>
    <col min="263" max="263" width="2" style="2" bestFit="1" customWidth="1"/>
    <col min="264" max="264" width="10.85546875" style="2" bestFit="1" customWidth="1"/>
    <col min="265" max="265" width="3.5703125" style="2" customWidth="1"/>
    <col min="266" max="266" width="8.7109375" style="2" bestFit="1" customWidth="1"/>
    <col min="267" max="267" width="3.28515625" style="2" bestFit="1" customWidth="1"/>
    <col min="268" max="268" width="4.140625" style="2" bestFit="1" customWidth="1"/>
    <col min="269" max="269" width="10.28515625" style="2" bestFit="1" customWidth="1"/>
    <col min="270" max="512" width="9.140625" style="2"/>
    <col min="513" max="513" width="25.5703125" style="2" customWidth="1"/>
    <col min="514" max="514" width="9.140625" style="2"/>
    <col min="515" max="515" width="5.85546875" style="2" customWidth="1"/>
    <col min="516" max="516" width="2.7109375" style="2" customWidth="1"/>
    <col min="517" max="517" width="4" style="2" customWidth="1"/>
    <col min="518" max="518" width="2.7109375" style="2" customWidth="1"/>
    <col min="519" max="519" width="2" style="2" bestFit="1" customWidth="1"/>
    <col min="520" max="520" width="10.85546875" style="2" bestFit="1" customWidth="1"/>
    <col min="521" max="521" width="3.5703125" style="2" customWidth="1"/>
    <col min="522" max="522" width="8.7109375" style="2" bestFit="1" customWidth="1"/>
    <col min="523" max="523" width="3.28515625" style="2" bestFit="1" customWidth="1"/>
    <col min="524" max="524" width="4.140625" style="2" bestFit="1" customWidth="1"/>
    <col min="525" max="525" width="10.28515625" style="2" bestFit="1" customWidth="1"/>
    <col min="526" max="768" width="9.140625" style="2"/>
    <col min="769" max="769" width="25.5703125" style="2" customWidth="1"/>
    <col min="770" max="770" width="9.140625" style="2"/>
    <col min="771" max="771" width="5.85546875" style="2" customWidth="1"/>
    <col min="772" max="772" width="2.7109375" style="2" customWidth="1"/>
    <col min="773" max="773" width="4" style="2" customWidth="1"/>
    <col min="774" max="774" width="2.7109375" style="2" customWidth="1"/>
    <col min="775" max="775" width="2" style="2" bestFit="1" customWidth="1"/>
    <col min="776" max="776" width="10.85546875" style="2" bestFit="1" customWidth="1"/>
    <col min="777" max="777" width="3.5703125" style="2" customWidth="1"/>
    <col min="778" max="778" width="8.7109375" style="2" bestFit="1" customWidth="1"/>
    <col min="779" max="779" width="3.28515625" style="2" bestFit="1" customWidth="1"/>
    <col min="780" max="780" width="4.140625" style="2" bestFit="1" customWidth="1"/>
    <col min="781" max="781" width="10.28515625" style="2" bestFit="1" customWidth="1"/>
    <col min="782" max="1024" width="9.140625" style="2"/>
    <col min="1025" max="1025" width="25.5703125" style="2" customWidth="1"/>
    <col min="1026" max="1026" width="9.140625" style="2"/>
    <col min="1027" max="1027" width="5.85546875" style="2" customWidth="1"/>
    <col min="1028" max="1028" width="2.7109375" style="2" customWidth="1"/>
    <col min="1029" max="1029" width="4" style="2" customWidth="1"/>
    <col min="1030" max="1030" width="2.7109375" style="2" customWidth="1"/>
    <col min="1031" max="1031" width="2" style="2" bestFit="1" customWidth="1"/>
    <col min="1032" max="1032" width="10.85546875" style="2" bestFit="1" customWidth="1"/>
    <col min="1033" max="1033" width="3.5703125" style="2" customWidth="1"/>
    <col min="1034" max="1034" width="8.7109375" style="2" bestFit="1" customWidth="1"/>
    <col min="1035" max="1035" width="3.28515625" style="2" bestFit="1" customWidth="1"/>
    <col min="1036" max="1036" width="4.140625" style="2" bestFit="1" customWidth="1"/>
    <col min="1037" max="1037" width="10.28515625" style="2" bestFit="1" customWidth="1"/>
    <col min="1038" max="1280" width="9.140625" style="2"/>
    <col min="1281" max="1281" width="25.5703125" style="2" customWidth="1"/>
    <col min="1282" max="1282" width="9.140625" style="2"/>
    <col min="1283" max="1283" width="5.85546875" style="2" customWidth="1"/>
    <col min="1284" max="1284" width="2.7109375" style="2" customWidth="1"/>
    <col min="1285" max="1285" width="4" style="2" customWidth="1"/>
    <col min="1286" max="1286" width="2.7109375" style="2" customWidth="1"/>
    <col min="1287" max="1287" width="2" style="2" bestFit="1" customWidth="1"/>
    <col min="1288" max="1288" width="10.85546875" style="2" bestFit="1" customWidth="1"/>
    <col min="1289" max="1289" width="3.5703125" style="2" customWidth="1"/>
    <col min="1290" max="1290" width="8.7109375" style="2" bestFit="1" customWidth="1"/>
    <col min="1291" max="1291" width="3.28515625" style="2" bestFit="1" customWidth="1"/>
    <col min="1292" max="1292" width="4.140625" style="2" bestFit="1" customWidth="1"/>
    <col min="1293" max="1293" width="10.28515625" style="2" bestFit="1" customWidth="1"/>
    <col min="1294" max="1536" width="9.140625" style="2"/>
    <col min="1537" max="1537" width="25.5703125" style="2" customWidth="1"/>
    <col min="1538" max="1538" width="9.140625" style="2"/>
    <col min="1539" max="1539" width="5.85546875" style="2" customWidth="1"/>
    <col min="1540" max="1540" width="2.7109375" style="2" customWidth="1"/>
    <col min="1541" max="1541" width="4" style="2" customWidth="1"/>
    <col min="1542" max="1542" width="2.7109375" style="2" customWidth="1"/>
    <col min="1543" max="1543" width="2" style="2" bestFit="1" customWidth="1"/>
    <col min="1544" max="1544" width="10.85546875" style="2" bestFit="1" customWidth="1"/>
    <col min="1545" max="1545" width="3.5703125" style="2" customWidth="1"/>
    <col min="1546" max="1546" width="8.7109375" style="2" bestFit="1" customWidth="1"/>
    <col min="1547" max="1547" width="3.28515625" style="2" bestFit="1" customWidth="1"/>
    <col min="1548" max="1548" width="4.140625" style="2" bestFit="1" customWidth="1"/>
    <col min="1549" max="1549" width="10.28515625" style="2" bestFit="1" customWidth="1"/>
    <col min="1550" max="1792" width="9.140625" style="2"/>
    <col min="1793" max="1793" width="25.5703125" style="2" customWidth="1"/>
    <col min="1794" max="1794" width="9.140625" style="2"/>
    <col min="1795" max="1795" width="5.85546875" style="2" customWidth="1"/>
    <col min="1796" max="1796" width="2.7109375" style="2" customWidth="1"/>
    <col min="1797" max="1797" width="4" style="2" customWidth="1"/>
    <col min="1798" max="1798" width="2.7109375" style="2" customWidth="1"/>
    <col min="1799" max="1799" width="2" style="2" bestFit="1" customWidth="1"/>
    <col min="1800" max="1800" width="10.85546875" style="2" bestFit="1" customWidth="1"/>
    <col min="1801" max="1801" width="3.5703125" style="2" customWidth="1"/>
    <col min="1802" max="1802" width="8.7109375" style="2" bestFit="1" customWidth="1"/>
    <col min="1803" max="1803" width="3.28515625" style="2" bestFit="1" customWidth="1"/>
    <col min="1804" max="1804" width="4.140625" style="2" bestFit="1" customWidth="1"/>
    <col min="1805" max="1805" width="10.28515625" style="2" bestFit="1" customWidth="1"/>
    <col min="1806" max="2048" width="9.140625" style="2"/>
    <col min="2049" max="2049" width="25.5703125" style="2" customWidth="1"/>
    <col min="2050" max="2050" width="9.140625" style="2"/>
    <col min="2051" max="2051" width="5.85546875" style="2" customWidth="1"/>
    <col min="2052" max="2052" width="2.7109375" style="2" customWidth="1"/>
    <col min="2053" max="2053" width="4" style="2" customWidth="1"/>
    <col min="2054" max="2054" width="2.7109375" style="2" customWidth="1"/>
    <col min="2055" max="2055" width="2" style="2" bestFit="1" customWidth="1"/>
    <col min="2056" max="2056" width="10.85546875" style="2" bestFit="1" customWidth="1"/>
    <col min="2057" max="2057" width="3.5703125" style="2" customWidth="1"/>
    <col min="2058" max="2058" width="8.7109375" style="2" bestFit="1" customWidth="1"/>
    <col min="2059" max="2059" width="3.28515625" style="2" bestFit="1" customWidth="1"/>
    <col min="2060" max="2060" width="4.140625" style="2" bestFit="1" customWidth="1"/>
    <col min="2061" max="2061" width="10.28515625" style="2" bestFit="1" customWidth="1"/>
    <col min="2062" max="2304" width="9.140625" style="2"/>
    <col min="2305" max="2305" width="25.5703125" style="2" customWidth="1"/>
    <col min="2306" max="2306" width="9.140625" style="2"/>
    <col min="2307" max="2307" width="5.85546875" style="2" customWidth="1"/>
    <col min="2308" max="2308" width="2.7109375" style="2" customWidth="1"/>
    <col min="2309" max="2309" width="4" style="2" customWidth="1"/>
    <col min="2310" max="2310" width="2.7109375" style="2" customWidth="1"/>
    <col min="2311" max="2311" width="2" style="2" bestFit="1" customWidth="1"/>
    <col min="2312" max="2312" width="10.85546875" style="2" bestFit="1" customWidth="1"/>
    <col min="2313" max="2313" width="3.5703125" style="2" customWidth="1"/>
    <col min="2314" max="2314" width="8.7109375" style="2" bestFit="1" customWidth="1"/>
    <col min="2315" max="2315" width="3.28515625" style="2" bestFit="1" customWidth="1"/>
    <col min="2316" max="2316" width="4.140625" style="2" bestFit="1" customWidth="1"/>
    <col min="2317" max="2317" width="10.28515625" style="2" bestFit="1" customWidth="1"/>
    <col min="2318" max="2560" width="9.140625" style="2"/>
    <col min="2561" max="2561" width="25.5703125" style="2" customWidth="1"/>
    <col min="2562" max="2562" width="9.140625" style="2"/>
    <col min="2563" max="2563" width="5.85546875" style="2" customWidth="1"/>
    <col min="2564" max="2564" width="2.7109375" style="2" customWidth="1"/>
    <col min="2565" max="2565" width="4" style="2" customWidth="1"/>
    <col min="2566" max="2566" width="2.7109375" style="2" customWidth="1"/>
    <col min="2567" max="2567" width="2" style="2" bestFit="1" customWidth="1"/>
    <col min="2568" max="2568" width="10.85546875" style="2" bestFit="1" customWidth="1"/>
    <col min="2569" max="2569" width="3.5703125" style="2" customWidth="1"/>
    <col min="2570" max="2570" width="8.7109375" style="2" bestFit="1" customWidth="1"/>
    <col min="2571" max="2571" width="3.28515625" style="2" bestFit="1" customWidth="1"/>
    <col min="2572" max="2572" width="4.140625" style="2" bestFit="1" customWidth="1"/>
    <col min="2573" max="2573" width="10.28515625" style="2" bestFit="1" customWidth="1"/>
    <col min="2574" max="2816" width="9.140625" style="2"/>
    <col min="2817" max="2817" width="25.5703125" style="2" customWidth="1"/>
    <col min="2818" max="2818" width="9.140625" style="2"/>
    <col min="2819" max="2819" width="5.85546875" style="2" customWidth="1"/>
    <col min="2820" max="2820" width="2.7109375" style="2" customWidth="1"/>
    <col min="2821" max="2821" width="4" style="2" customWidth="1"/>
    <col min="2822" max="2822" width="2.7109375" style="2" customWidth="1"/>
    <col min="2823" max="2823" width="2" style="2" bestFit="1" customWidth="1"/>
    <col min="2824" max="2824" width="10.85546875" style="2" bestFit="1" customWidth="1"/>
    <col min="2825" max="2825" width="3.5703125" style="2" customWidth="1"/>
    <col min="2826" max="2826" width="8.7109375" style="2" bestFit="1" customWidth="1"/>
    <col min="2827" max="2827" width="3.28515625" style="2" bestFit="1" customWidth="1"/>
    <col min="2828" max="2828" width="4.140625" style="2" bestFit="1" customWidth="1"/>
    <col min="2829" max="2829" width="10.28515625" style="2" bestFit="1" customWidth="1"/>
    <col min="2830" max="3072" width="9.140625" style="2"/>
    <col min="3073" max="3073" width="25.5703125" style="2" customWidth="1"/>
    <col min="3074" max="3074" width="9.140625" style="2"/>
    <col min="3075" max="3075" width="5.85546875" style="2" customWidth="1"/>
    <col min="3076" max="3076" width="2.7109375" style="2" customWidth="1"/>
    <col min="3077" max="3077" width="4" style="2" customWidth="1"/>
    <col min="3078" max="3078" width="2.7109375" style="2" customWidth="1"/>
    <col min="3079" max="3079" width="2" style="2" bestFit="1" customWidth="1"/>
    <col min="3080" max="3080" width="10.85546875" style="2" bestFit="1" customWidth="1"/>
    <col min="3081" max="3081" width="3.5703125" style="2" customWidth="1"/>
    <col min="3082" max="3082" width="8.7109375" style="2" bestFit="1" customWidth="1"/>
    <col min="3083" max="3083" width="3.28515625" style="2" bestFit="1" customWidth="1"/>
    <col min="3084" max="3084" width="4.140625" style="2" bestFit="1" customWidth="1"/>
    <col min="3085" max="3085" width="10.28515625" style="2" bestFit="1" customWidth="1"/>
    <col min="3086" max="3328" width="9.140625" style="2"/>
    <col min="3329" max="3329" width="25.5703125" style="2" customWidth="1"/>
    <col min="3330" max="3330" width="9.140625" style="2"/>
    <col min="3331" max="3331" width="5.85546875" style="2" customWidth="1"/>
    <col min="3332" max="3332" width="2.7109375" style="2" customWidth="1"/>
    <col min="3333" max="3333" width="4" style="2" customWidth="1"/>
    <col min="3334" max="3334" width="2.7109375" style="2" customWidth="1"/>
    <col min="3335" max="3335" width="2" style="2" bestFit="1" customWidth="1"/>
    <col min="3336" max="3336" width="10.85546875" style="2" bestFit="1" customWidth="1"/>
    <col min="3337" max="3337" width="3.5703125" style="2" customWidth="1"/>
    <col min="3338" max="3338" width="8.7109375" style="2" bestFit="1" customWidth="1"/>
    <col min="3339" max="3339" width="3.28515625" style="2" bestFit="1" customWidth="1"/>
    <col min="3340" max="3340" width="4.140625" style="2" bestFit="1" customWidth="1"/>
    <col min="3341" max="3341" width="10.28515625" style="2" bestFit="1" customWidth="1"/>
    <col min="3342" max="3584" width="9.140625" style="2"/>
    <col min="3585" max="3585" width="25.5703125" style="2" customWidth="1"/>
    <col min="3586" max="3586" width="9.140625" style="2"/>
    <col min="3587" max="3587" width="5.85546875" style="2" customWidth="1"/>
    <col min="3588" max="3588" width="2.7109375" style="2" customWidth="1"/>
    <col min="3589" max="3589" width="4" style="2" customWidth="1"/>
    <col min="3590" max="3590" width="2.7109375" style="2" customWidth="1"/>
    <col min="3591" max="3591" width="2" style="2" bestFit="1" customWidth="1"/>
    <col min="3592" max="3592" width="10.85546875" style="2" bestFit="1" customWidth="1"/>
    <col min="3593" max="3593" width="3.5703125" style="2" customWidth="1"/>
    <col min="3594" max="3594" width="8.7109375" style="2" bestFit="1" customWidth="1"/>
    <col min="3595" max="3595" width="3.28515625" style="2" bestFit="1" customWidth="1"/>
    <col min="3596" max="3596" width="4.140625" style="2" bestFit="1" customWidth="1"/>
    <col min="3597" max="3597" width="10.28515625" style="2" bestFit="1" customWidth="1"/>
    <col min="3598" max="3840" width="9.140625" style="2"/>
    <col min="3841" max="3841" width="25.5703125" style="2" customWidth="1"/>
    <col min="3842" max="3842" width="9.140625" style="2"/>
    <col min="3843" max="3843" width="5.85546875" style="2" customWidth="1"/>
    <col min="3844" max="3844" width="2.7109375" style="2" customWidth="1"/>
    <col min="3845" max="3845" width="4" style="2" customWidth="1"/>
    <col min="3846" max="3846" width="2.7109375" style="2" customWidth="1"/>
    <col min="3847" max="3847" width="2" style="2" bestFit="1" customWidth="1"/>
    <col min="3848" max="3848" width="10.85546875" style="2" bestFit="1" customWidth="1"/>
    <col min="3849" max="3849" width="3.5703125" style="2" customWidth="1"/>
    <col min="3850" max="3850" width="8.7109375" style="2" bestFit="1" customWidth="1"/>
    <col min="3851" max="3851" width="3.28515625" style="2" bestFit="1" customWidth="1"/>
    <col min="3852" max="3852" width="4.140625" style="2" bestFit="1" customWidth="1"/>
    <col min="3853" max="3853" width="10.28515625" style="2" bestFit="1" customWidth="1"/>
    <col min="3854" max="4096" width="9.140625" style="2"/>
    <col min="4097" max="4097" width="25.5703125" style="2" customWidth="1"/>
    <col min="4098" max="4098" width="9.140625" style="2"/>
    <col min="4099" max="4099" width="5.85546875" style="2" customWidth="1"/>
    <col min="4100" max="4100" width="2.7109375" style="2" customWidth="1"/>
    <col min="4101" max="4101" width="4" style="2" customWidth="1"/>
    <col min="4102" max="4102" width="2.7109375" style="2" customWidth="1"/>
    <col min="4103" max="4103" width="2" style="2" bestFit="1" customWidth="1"/>
    <col min="4104" max="4104" width="10.85546875" style="2" bestFit="1" customWidth="1"/>
    <col min="4105" max="4105" width="3.5703125" style="2" customWidth="1"/>
    <col min="4106" max="4106" width="8.7109375" style="2" bestFit="1" customWidth="1"/>
    <col min="4107" max="4107" width="3.28515625" style="2" bestFit="1" customWidth="1"/>
    <col min="4108" max="4108" width="4.140625" style="2" bestFit="1" customWidth="1"/>
    <col min="4109" max="4109" width="10.28515625" style="2" bestFit="1" customWidth="1"/>
    <col min="4110" max="4352" width="9.140625" style="2"/>
    <col min="4353" max="4353" width="25.5703125" style="2" customWidth="1"/>
    <col min="4354" max="4354" width="9.140625" style="2"/>
    <col min="4355" max="4355" width="5.85546875" style="2" customWidth="1"/>
    <col min="4356" max="4356" width="2.7109375" style="2" customWidth="1"/>
    <col min="4357" max="4357" width="4" style="2" customWidth="1"/>
    <col min="4358" max="4358" width="2.7109375" style="2" customWidth="1"/>
    <col min="4359" max="4359" width="2" style="2" bestFit="1" customWidth="1"/>
    <col min="4360" max="4360" width="10.85546875" style="2" bestFit="1" customWidth="1"/>
    <col min="4361" max="4361" width="3.5703125" style="2" customWidth="1"/>
    <col min="4362" max="4362" width="8.7109375" style="2" bestFit="1" customWidth="1"/>
    <col min="4363" max="4363" width="3.28515625" style="2" bestFit="1" customWidth="1"/>
    <col min="4364" max="4364" width="4.140625" style="2" bestFit="1" customWidth="1"/>
    <col min="4365" max="4365" width="10.28515625" style="2" bestFit="1" customWidth="1"/>
    <col min="4366" max="4608" width="9.140625" style="2"/>
    <col min="4609" max="4609" width="25.5703125" style="2" customWidth="1"/>
    <col min="4610" max="4610" width="9.140625" style="2"/>
    <col min="4611" max="4611" width="5.85546875" style="2" customWidth="1"/>
    <col min="4612" max="4612" width="2.7109375" style="2" customWidth="1"/>
    <col min="4613" max="4613" width="4" style="2" customWidth="1"/>
    <col min="4614" max="4614" width="2.7109375" style="2" customWidth="1"/>
    <col min="4615" max="4615" width="2" style="2" bestFit="1" customWidth="1"/>
    <col min="4616" max="4616" width="10.85546875" style="2" bestFit="1" customWidth="1"/>
    <col min="4617" max="4617" width="3.5703125" style="2" customWidth="1"/>
    <col min="4618" max="4618" width="8.7109375" style="2" bestFit="1" customWidth="1"/>
    <col min="4619" max="4619" width="3.28515625" style="2" bestFit="1" customWidth="1"/>
    <col min="4620" max="4620" width="4.140625" style="2" bestFit="1" customWidth="1"/>
    <col min="4621" max="4621" width="10.28515625" style="2" bestFit="1" customWidth="1"/>
    <col min="4622" max="4864" width="9.140625" style="2"/>
    <col min="4865" max="4865" width="25.5703125" style="2" customWidth="1"/>
    <col min="4866" max="4866" width="9.140625" style="2"/>
    <col min="4867" max="4867" width="5.85546875" style="2" customWidth="1"/>
    <col min="4868" max="4868" width="2.7109375" style="2" customWidth="1"/>
    <col min="4869" max="4869" width="4" style="2" customWidth="1"/>
    <col min="4870" max="4870" width="2.7109375" style="2" customWidth="1"/>
    <col min="4871" max="4871" width="2" style="2" bestFit="1" customWidth="1"/>
    <col min="4872" max="4872" width="10.85546875" style="2" bestFit="1" customWidth="1"/>
    <col min="4873" max="4873" width="3.5703125" style="2" customWidth="1"/>
    <col min="4874" max="4874" width="8.7109375" style="2" bestFit="1" customWidth="1"/>
    <col min="4875" max="4875" width="3.28515625" style="2" bestFit="1" customWidth="1"/>
    <col min="4876" max="4876" width="4.140625" style="2" bestFit="1" customWidth="1"/>
    <col min="4877" max="4877" width="10.28515625" style="2" bestFit="1" customWidth="1"/>
    <col min="4878" max="5120" width="9.140625" style="2"/>
    <col min="5121" max="5121" width="25.5703125" style="2" customWidth="1"/>
    <col min="5122" max="5122" width="9.140625" style="2"/>
    <col min="5123" max="5123" width="5.85546875" style="2" customWidth="1"/>
    <col min="5124" max="5124" width="2.7109375" style="2" customWidth="1"/>
    <col min="5125" max="5125" width="4" style="2" customWidth="1"/>
    <col min="5126" max="5126" width="2.7109375" style="2" customWidth="1"/>
    <col min="5127" max="5127" width="2" style="2" bestFit="1" customWidth="1"/>
    <col min="5128" max="5128" width="10.85546875" style="2" bestFit="1" customWidth="1"/>
    <col min="5129" max="5129" width="3.5703125" style="2" customWidth="1"/>
    <col min="5130" max="5130" width="8.7109375" style="2" bestFit="1" customWidth="1"/>
    <col min="5131" max="5131" width="3.28515625" style="2" bestFit="1" customWidth="1"/>
    <col min="5132" max="5132" width="4.140625" style="2" bestFit="1" customWidth="1"/>
    <col min="5133" max="5133" width="10.28515625" style="2" bestFit="1" customWidth="1"/>
    <col min="5134" max="5376" width="9.140625" style="2"/>
    <col min="5377" max="5377" width="25.5703125" style="2" customWidth="1"/>
    <col min="5378" max="5378" width="9.140625" style="2"/>
    <col min="5379" max="5379" width="5.85546875" style="2" customWidth="1"/>
    <col min="5380" max="5380" width="2.7109375" style="2" customWidth="1"/>
    <col min="5381" max="5381" width="4" style="2" customWidth="1"/>
    <col min="5382" max="5382" width="2.7109375" style="2" customWidth="1"/>
    <col min="5383" max="5383" width="2" style="2" bestFit="1" customWidth="1"/>
    <col min="5384" max="5384" width="10.85546875" style="2" bestFit="1" customWidth="1"/>
    <col min="5385" max="5385" width="3.5703125" style="2" customWidth="1"/>
    <col min="5386" max="5386" width="8.7109375" style="2" bestFit="1" customWidth="1"/>
    <col min="5387" max="5387" width="3.28515625" style="2" bestFit="1" customWidth="1"/>
    <col min="5388" max="5388" width="4.140625" style="2" bestFit="1" customWidth="1"/>
    <col min="5389" max="5389" width="10.28515625" style="2" bestFit="1" customWidth="1"/>
    <col min="5390" max="5632" width="9.140625" style="2"/>
    <col min="5633" max="5633" width="25.5703125" style="2" customWidth="1"/>
    <col min="5634" max="5634" width="9.140625" style="2"/>
    <col min="5635" max="5635" width="5.85546875" style="2" customWidth="1"/>
    <col min="5636" max="5636" width="2.7109375" style="2" customWidth="1"/>
    <col min="5637" max="5637" width="4" style="2" customWidth="1"/>
    <col min="5638" max="5638" width="2.7109375" style="2" customWidth="1"/>
    <col min="5639" max="5639" width="2" style="2" bestFit="1" customWidth="1"/>
    <col min="5640" max="5640" width="10.85546875" style="2" bestFit="1" customWidth="1"/>
    <col min="5641" max="5641" width="3.5703125" style="2" customWidth="1"/>
    <col min="5642" max="5642" width="8.7109375" style="2" bestFit="1" customWidth="1"/>
    <col min="5643" max="5643" width="3.28515625" style="2" bestFit="1" customWidth="1"/>
    <col min="5644" max="5644" width="4.140625" style="2" bestFit="1" customWidth="1"/>
    <col min="5645" max="5645" width="10.28515625" style="2" bestFit="1" customWidth="1"/>
    <col min="5646" max="5888" width="9.140625" style="2"/>
    <col min="5889" max="5889" width="25.5703125" style="2" customWidth="1"/>
    <col min="5890" max="5890" width="9.140625" style="2"/>
    <col min="5891" max="5891" width="5.85546875" style="2" customWidth="1"/>
    <col min="5892" max="5892" width="2.7109375" style="2" customWidth="1"/>
    <col min="5893" max="5893" width="4" style="2" customWidth="1"/>
    <col min="5894" max="5894" width="2.7109375" style="2" customWidth="1"/>
    <col min="5895" max="5895" width="2" style="2" bestFit="1" customWidth="1"/>
    <col min="5896" max="5896" width="10.85546875" style="2" bestFit="1" customWidth="1"/>
    <col min="5897" max="5897" width="3.5703125" style="2" customWidth="1"/>
    <col min="5898" max="5898" width="8.7109375" style="2" bestFit="1" customWidth="1"/>
    <col min="5899" max="5899" width="3.28515625" style="2" bestFit="1" customWidth="1"/>
    <col min="5900" max="5900" width="4.140625" style="2" bestFit="1" customWidth="1"/>
    <col min="5901" max="5901" width="10.28515625" style="2" bestFit="1" customWidth="1"/>
    <col min="5902" max="6144" width="9.140625" style="2"/>
    <col min="6145" max="6145" width="25.5703125" style="2" customWidth="1"/>
    <col min="6146" max="6146" width="9.140625" style="2"/>
    <col min="6147" max="6147" width="5.85546875" style="2" customWidth="1"/>
    <col min="6148" max="6148" width="2.7109375" style="2" customWidth="1"/>
    <col min="6149" max="6149" width="4" style="2" customWidth="1"/>
    <col min="6150" max="6150" width="2.7109375" style="2" customWidth="1"/>
    <col min="6151" max="6151" width="2" style="2" bestFit="1" customWidth="1"/>
    <col min="6152" max="6152" width="10.85546875" style="2" bestFit="1" customWidth="1"/>
    <col min="6153" max="6153" width="3.5703125" style="2" customWidth="1"/>
    <col min="6154" max="6154" width="8.7109375" style="2" bestFit="1" customWidth="1"/>
    <col min="6155" max="6155" width="3.28515625" style="2" bestFit="1" customWidth="1"/>
    <col min="6156" max="6156" width="4.140625" style="2" bestFit="1" customWidth="1"/>
    <col min="6157" max="6157" width="10.28515625" style="2" bestFit="1" customWidth="1"/>
    <col min="6158" max="6400" width="9.140625" style="2"/>
    <col min="6401" max="6401" width="25.5703125" style="2" customWidth="1"/>
    <col min="6402" max="6402" width="9.140625" style="2"/>
    <col min="6403" max="6403" width="5.85546875" style="2" customWidth="1"/>
    <col min="6404" max="6404" width="2.7109375" style="2" customWidth="1"/>
    <col min="6405" max="6405" width="4" style="2" customWidth="1"/>
    <col min="6406" max="6406" width="2.7109375" style="2" customWidth="1"/>
    <col min="6407" max="6407" width="2" style="2" bestFit="1" customWidth="1"/>
    <col min="6408" max="6408" width="10.85546875" style="2" bestFit="1" customWidth="1"/>
    <col min="6409" max="6409" width="3.5703125" style="2" customWidth="1"/>
    <col min="6410" max="6410" width="8.7109375" style="2" bestFit="1" customWidth="1"/>
    <col min="6411" max="6411" width="3.28515625" style="2" bestFit="1" customWidth="1"/>
    <col min="6412" max="6412" width="4.140625" style="2" bestFit="1" customWidth="1"/>
    <col min="6413" max="6413" width="10.28515625" style="2" bestFit="1" customWidth="1"/>
    <col min="6414" max="6656" width="9.140625" style="2"/>
    <col min="6657" max="6657" width="25.5703125" style="2" customWidth="1"/>
    <col min="6658" max="6658" width="9.140625" style="2"/>
    <col min="6659" max="6659" width="5.85546875" style="2" customWidth="1"/>
    <col min="6660" max="6660" width="2.7109375" style="2" customWidth="1"/>
    <col min="6661" max="6661" width="4" style="2" customWidth="1"/>
    <col min="6662" max="6662" width="2.7109375" style="2" customWidth="1"/>
    <col min="6663" max="6663" width="2" style="2" bestFit="1" customWidth="1"/>
    <col min="6664" max="6664" width="10.85546875" style="2" bestFit="1" customWidth="1"/>
    <col min="6665" max="6665" width="3.5703125" style="2" customWidth="1"/>
    <col min="6666" max="6666" width="8.7109375" style="2" bestFit="1" customWidth="1"/>
    <col min="6667" max="6667" width="3.28515625" style="2" bestFit="1" customWidth="1"/>
    <col min="6668" max="6668" width="4.140625" style="2" bestFit="1" customWidth="1"/>
    <col min="6669" max="6669" width="10.28515625" style="2" bestFit="1" customWidth="1"/>
    <col min="6670" max="6912" width="9.140625" style="2"/>
    <col min="6913" max="6913" width="25.5703125" style="2" customWidth="1"/>
    <col min="6914" max="6914" width="9.140625" style="2"/>
    <col min="6915" max="6915" width="5.85546875" style="2" customWidth="1"/>
    <col min="6916" max="6916" width="2.7109375" style="2" customWidth="1"/>
    <col min="6917" max="6917" width="4" style="2" customWidth="1"/>
    <col min="6918" max="6918" width="2.7109375" style="2" customWidth="1"/>
    <col min="6919" max="6919" width="2" style="2" bestFit="1" customWidth="1"/>
    <col min="6920" max="6920" width="10.85546875" style="2" bestFit="1" customWidth="1"/>
    <col min="6921" max="6921" width="3.5703125" style="2" customWidth="1"/>
    <col min="6922" max="6922" width="8.7109375" style="2" bestFit="1" customWidth="1"/>
    <col min="6923" max="6923" width="3.28515625" style="2" bestFit="1" customWidth="1"/>
    <col min="6924" max="6924" width="4.140625" style="2" bestFit="1" customWidth="1"/>
    <col min="6925" max="6925" width="10.28515625" style="2" bestFit="1" customWidth="1"/>
    <col min="6926" max="7168" width="9.140625" style="2"/>
    <col min="7169" max="7169" width="25.5703125" style="2" customWidth="1"/>
    <col min="7170" max="7170" width="9.140625" style="2"/>
    <col min="7171" max="7171" width="5.85546875" style="2" customWidth="1"/>
    <col min="7172" max="7172" width="2.7109375" style="2" customWidth="1"/>
    <col min="7173" max="7173" width="4" style="2" customWidth="1"/>
    <col min="7174" max="7174" width="2.7109375" style="2" customWidth="1"/>
    <col min="7175" max="7175" width="2" style="2" bestFit="1" customWidth="1"/>
    <col min="7176" max="7176" width="10.85546875" style="2" bestFit="1" customWidth="1"/>
    <col min="7177" max="7177" width="3.5703125" style="2" customWidth="1"/>
    <col min="7178" max="7178" width="8.7109375" style="2" bestFit="1" customWidth="1"/>
    <col min="7179" max="7179" width="3.28515625" style="2" bestFit="1" customWidth="1"/>
    <col min="7180" max="7180" width="4.140625" style="2" bestFit="1" customWidth="1"/>
    <col min="7181" max="7181" width="10.28515625" style="2" bestFit="1" customWidth="1"/>
    <col min="7182" max="7424" width="9.140625" style="2"/>
    <col min="7425" max="7425" width="25.5703125" style="2" customWidth="1"/>
    <col min="7426" max="7426" width="9.140625" style="2"/>
    <col min="7427" max="7427" width="5.85546875" style="2" customWidth="1"/>
    <col min="7428" max="7428" width="2.7109375" style="2" customWidth="1"/>
    <col min="7429" max="7429" width="4" style="2" customWidth="1"/>
    <col min="7430" max="7430" width="2.7109375" style="2" customWidth="1"/>
    <col min="7431" max="7431" width="2" style="2" bestFit="1" customWidth="1"/>
    <col min="7432" max="7432" width="10.85546875" style="2" bestFit="1" customWidth="1"/>
    <col min="7433" max="7433" width="3.5703125" style="2" customWidth="1"/>
    <col min="7434" max="7434" width="8.7109375" style="2" bestFit="1" customWidth="1"/>
    <col min="7435" max="7435" width="3.28515625" style="2" bestFit="1" customWidth="1"/>
    <col min="7436" max="7436" width="4.140625" style="2" bestFit="1" customWidth="1"/>
    <col min="7437" max="7437" width="10.28515625" style="2" bestFit="1" customWidth="1"/>
    <col min="7438" max="7680" width="9.140625" style="2"/>
    <col min="7681" max="7681" width="25.5703125" style="2" customWidth="1"/>
    <col min="7682" max="7682" width="9.140625" style="2"/>
    <col min="7683" max="7683" width="5.85546875" style="2" customWidth="1"/>
    <col min="7684" max="7684" width="2.7109375" style="2" customWidth="1"/>
    <col min="7685" max="7685" width="4" style="2" customWidth="1"/>
    <col min="7686" max="7686" width="2.7109375" style="2" customWidth="1"/>
    <col min="7687" max="7687" width="2" style="2" bestFit="1" customWidth="1"/>
    <col min="7688" max="7688" width="10.85546875" style="2" bestFit="1" customWidth="1"/>
    <col min="7689" max="7689" width="3.5703125" style="2" customWidth="1"/>
    <col min="7690" max="7690" width="8.7109375" style="2" bestFit="1" customWidth="1"/>
    <col min="7691" max="7691" width="3.28515625" style="2" bestFit="1" customWidth="1"/>
    <col min="7692" max="7692" width="4.140625" style="2" bestFit="1" customWidth="1"/>
    <col min="7693" max="7693" width="10.28515625" style="2" bestFit="1" customWidth="1"/>
    <col min="7694" max="7936" width="9.140625" style="2"/>
    <col min="7937" max="7937" width="25.5703125" style="2" customWidth="1"/>
    <col min="7938" max="7938" width="9.140625" style="2"/>
    <col min="7939" max="7939" width="5.85546875" style="2" customWidth="1"/>
    <col min="7940" max="7940" width="2.7109375" style="2" customWidth="1"/>
    <col min="7941" max="7941" width="4" style="2" customWidth="1"/>
    <col min="7942" max="7942" width="2.7109375" style="2" customWidth="1"/>
    <col min="7943" max="7943" width="2" style="2" bestFit="1" customWidth="1"/>
    <col min="7944" max="7944" width="10.85546875" style="2" bestFit="1" customWidth="1"/>
    <col min="7945" max="7945" width="3.5703125" style="2" customWidth="1"/>
    <col min="7946" max="7946" width="8.7109375" style="2" bestFit="1" customWidth="1"/>
    <col min="7947" max="7947" width="3.28515625" style="2" bestFit="1" customWidth="1"/>
    <col min="7948" max="7948" width="4.140625" style="2" bestFit="1" customWidth="1"/>
    <col min="7949" max="7949" width="10.28515625" style="2" bestFit="1" customWidth="1"/>
    <col min="7950" max="8192" width="9.140625" style="2"/>
    <col min="8193" max="8193" width="25.5703125" style="2" customWidth="1"/>
    <col min="8194" max="8194" width="9.140625" style="2"/>
    <col min="8195" max="8195" width="5.85546875" style="2" customWidth="1"/>
    <col min="8196" max="8196" width="2.7109375" style="2" customWidth="1"/>
    <col min="8197" max="8197" width="4" style="2" customWidth="1"/>
    <col min="8198" max="8198" width="2.7109375" style="2" customWidth="1"/>
    <col min="8199" max="8199" width="2" style="2" bestFit="1" customWidth="1"/>
    <col min="8200" max="8200" width="10.85546875" style="2" bestFit="1" customWidth="1"/>
    <col min="8201" max="8201" width="3.5703125" style="2" customWidth="1"/>
    <col min="8202" max="8202" width="8.7109375" style="2" bestFit="1" customWidth="1"/>
    <col min="8203" max="8203" width="3.28515625" style="2" bestFit="1" customWidth="1"/>
    <col min="8204" max="8204" width="4.140625" style="2" bestFit="1" customWidth="1"/>
    <col min="8205" max="8205" width="10.28515625" style="2" bestFit="1" customWidth="1"/>
    <col min="8206" max="8448" width="9.140625" style="2"/>
    <col min="8449" max="8449" width="25.5703125" style="2" customWidth="1"/>
    <col min="8450" max="8450" width="9.140625" style="2"/>
    <col min="8451" max="8451" width="5.85546875" style="2" customWidth="1"/>
    <col min="8452" max="8452" width="2.7109375" style="2" customWidth="1"/>
    <col min="8453" max="8453" width="4" style="2" customWidth="1"/>
    <col min="8454" max="8454" width="2.7109375" style="2" customWidth="1"/>
    <col min="8455" max="8455" width="2" style="2" bestFit="1" customWidth="1"/>
    <col min="8456" max="8456" width="10.85546875" style="2" bestFit="1" customWidth="1"/>
    <col min="8457" max="8457" width="3.5703125" style="2" customWidth="1"/>
    <col min="8458" max="8458" width="8.7109375" style="2" bestFit="1" customWidth="1"/>
    <col min="8459" max="8459" width="3.28515625" style="2" bestFit="1" customWidth="1"/>
    <col min="8460" max="8460" width="4.140625" style="2" bestFit="1" customWidth="1"/>
    <col min="8461" max="8461" width="10.28515625" style="2" bestFit="1" customWidth="1"/>
    <col min="8462" max="8704" width="9.140625" style="2"/>
    <col min="8705" max="8705" width="25.5703125" style="2" customWidth="1"/>
    <col min="8706" max="8706" width="9.140625" style="2"/>
    <col min="8707" max="8707" width="5.85546875" style="2" customWidth="1"/>
    <col min="8708" max="8708" width="2.7109375" style="2" customWidth="1"/>
    <col min="8709" max="8709" width="4" style="2" customWidth="1"/>
    <col min="8710" max="8710" width="2.7109375" style="2" customWidth="1"/>
    <col min="8711" max="8711" width="2" style="2" bestFit="1" customWidth="1"/>
    <col min="8712" max="8712" width="10.85546875" style="2" bestFit="1" customWidth="1"/>
    <col min="8713" max="8713" width="3.5703125" style="2" customWidth="1"/>
    <col min="8714" max="8714" width="8.7109375" style="2" bestFit="1" customWidth="1"/>
    <col min="8715" max="8715" width="3.28515625" style="2" bestFit="1" customWidth="1"/>
    <col min="8716" max="8716" width="4.140625" style="2" bestFit="1" customWidth="1"/>
    <col min="8717" max="8717" width="10.28515625" style="2" bestFit="1" customWidth="1"/>
    <col min="8718" max="8960" width="9.140625" style="2"/>
    <col min="8961" max="8961" width="25.5703125" style="2" customWidth="1"/>
    <col min="8962" max="8962" width="9.140625" style="2"/>
    <col min="8963" max="8963" width="5.85546875" style="2" customWidth="1"/>
    <col min="8964" max="8964" width="2.7109375" style="2" customWidth="1"/>
    <col min="8965" max="8965" width="4" style="2" customWidth="1"/>
    <col min="8966" max="8966" width="2.7109375" style="2" customWidth="1"/>
    <col min="8967" max="8967" width="2" style="2" bestFit="1" customWidth="1"/>
    <col min="8968" max="8968" width="10.85546875" style="2" bestFit="1" customWidth="1"/>
    <col min="8969" max="8969" width="3.5703125" style="2" customWidth="1"/>
    <col min="8970" max="8970" width="8.7109375" style="2" bestFit="1" customWidth="1"/>
    <col min="8971" max="8971" width="3.28515625" style="2" bestFit="1" customWidth="1"/>
    <col min="8972" max="8972" width="4.140625" style="2" bestFit="1" customWidth="1"/>
    <col min="8973" max="8973" width="10.28515625" style="2" bestFit="1" customWidth="1"/>
    <col min="8974" max="9216" width="9.140625" style="2"/>
    <col min="9217" max="9217" width="25.5703125" style="2" customWidth="1"/>
    <col min="9218" max="9218" width="9.140625" style="2"/>
    <col min="9219" max="9219" width="5.85546875" style="2" customWidth="1"/>
    <col min="9220" max="9220" width="2.7109375" style="2" customWidth="1"/>
    <col min="9221" max="9221" width="4" style="2" customWidth="1"/>
    <col min="9222" max="9222" width="2.7109375" style="2" customWidth="1"/>
    <col min="9223" max="9223" width="2" style="2" bestFit="1" customWidth="1"/>
    <col min="9224" max="9224" width="10.85546875" style="2" bestFit="1" customWidth="1"/>
    <col min="9225" max="9225" width="3.5703125" style="2" customWidth="1"/>
    <col min="9226" max="9226" width="8.7109375" style="2" bestFit="1" customWidth="1"/>
    <col min="9227" max="9227" width="3.28515625" style="2" bestFit="1" customWidth="1"/>
    <col min="9228" max="9228" width="4.140625" style="2" bestFit="1" customWidth="1"/>
    <col min="9229" max="9229" width="10.28515625" style="2" bestFit="1" customWidth="1"/>
    <col min="9230" max="9472" width="9.140625" style="2"/>
    <col min="9473" max="9473" width="25.5703125" style="2" customWidth="1"/>
    <col min="9474" max="9474" width="9.140625" style="2"/>
    <col min="9475" max="9475" width="5.85546875" style="2" customWidth="1"/>
    <col min="9476" max="9476" width="2.7109375" style="2" customWidth="1"/>
    <col min="9477" max="9477" width="4" style="2" customWidth="1"/>
    <col min="9478" max="9478" width="2.7109375" style="2" customWidth="1"/>
    <col min="9479" max="9479" width="2" style="2" bestFit="1" customWidth="1"/>
    <col min="9480" max="9480" width="10.85546875" style="2" bestFit="1" customWidth="1"/>
    <col min="9481" max="9481" width="3.5703125" style="2" customWidth="1"/>
    <col min="9482" max="9482" width="8.7109375" style="2" bestFit="1" customWidth="1"/>
    <col min="9483" max="9483" width="3.28515625" style="2" bestFit="1" customWidth="1"/>
    <col min="9484" max="9484" width="4.140625" style="2" bestFit="1" customWidth="1"/>
    <col min="9485" max="9485" width="10.28515625" style="2" bestFit="1" customWidth="1"/>
    <col min="9486" max="9728" width="9.140625" style="2"/>
    <col min="9729" max="9729" width="25.5703125" style="2" customWidth="1"/>
    <col min="9730" max="9730" width="9.140625" style="2"/>
    <col min="9731" max="9731" width="5.85546875" style="2" customWidth="1"/>
    <col min="9732" max="9732" width="2.7109375" style="2" customWidth="1"/>
    <col min="9733" max="9733" width="4" style="2" customWidth="1"/>
    <col min="9734" max="9734" width="2.7109375" style="2" customWidth="1"/>
    <col min="9735" max="9735" width="2" style="2" bestFit="1" customWidth="1"/>
    <col min="9736" max="9736" width="10.85546875" style="2" bestFit="1" customWidth="1"/>
    <col min="9737" max="9737" width="3.5703125" style="2" customWidth="1"/>
    <col min="9738" max="9738" width="8.7109375" style="2" bestFit="1" customWidth="1"/>
    <col min="9739" max="9739" width="3.28515625" style="2" bestFit="1" customWidth="1"/>
    <col min="9740" max="9740" width="4.140625" style="2" bestFit="1" customWidth="1"/>
    <col min="9741" max="9741" width="10.28515625" style="2" bestFit="1" customWidth="1"/>
    <col min="9742" max="9984" width="9.140625" style="2"/>
    <col min="9985" max="9985" width="25.5703125" style="2" customWidth="1"/>
    <col min="9986" max="9986" width="9.140625" style="2"/>
    <col min="9987" max="9987" width="5.85546875" style="2" customWidth="1"/>
    <col min="9988" max="9988" width="2.7109375" style="2" customWidth="1"/>
    <col min="9989" max="9989" width="4" style="2" customWidth="1"/>
    <col min="9990" max="9990" width="2.7109375" style="2" customWidth="1"/>
    <col min="9991" max="9991" width="2" style="2" bestFit="1" customWidth="1"/>
    <col min="9992" max="9992" width="10.85546875" style="2" bestFit="1" customWidth="1"/>
    <col min="9993" max="9993" width="3.5703125" style="2" customWidth="1"/>
    <col min="9994" max="9994" width="8.7109375" style="2" bestFit="1" customWidth="1"/>
    <col min="9995" max="9995" width="3.28515625" style="2" bestFit="1" customWidth="1"/>
    <col min="9996" max="9996" width="4.140625" style="2" bestFit="1" customWidth="1"/>
    <col min="9997" max="9997" width="10.28515625" style="2" bestFit="1" customWidth="1"/>
    <col min="9998" max="10240" width="9.140625" style="2"/>
    <col min="10241" max="10241" width="25.5703125" style="2" customWidth="1"/>
    <col min="10242" max="10242" width="9.140625" style="2"/>
    <col min="10243" max="10243" width="5.85546875" style="2" customWidth="1"/>
    <col min="10244" max="10244" width="2.7109375" style="2" customWidth="1"/>
    <col min="10245" max="10245" width="4" style="2" customWidth="1"/>
    <col min="10246" max="10246" width="2.7109375" style="2" customWidth="1"/>
    <col min="10247" max="10247" width="2" style="2" bestFit="1" customWidth="1"/>
    <col min="10248" max="10248" width="10.85546875" style="2" bestFit="1" customWidth="1"/>
    <col min="10249" max="10249" width="3.5703125" style="2" customWidth="1"/>
    <col min="10250" max="10250" width="8.7109375" style="2" bestFit="1" customWidth="1"/>
    <col min="10251" max="10251" width="3.28515625" style="2" bestFit="1" customWidth="1"/>
    <col min="10252" max="10252" width="4.140625" style="2" bestFit="1" customWidth="1"/>
    <col min="10253" max="10253" width="10.28515625" style="2" bestFit="1" customWidth="1"/>
    <col min="10254" max="10496" width="9.140625" style="2"/>
    <col min="10497" max="10497" width="25.5703125" style="2" customWidth="1"/>
    <col min="10498" max="10498" width="9.140625" style="2"/>
    <col min="10499" max="10499" width="5.85546875" style="2" customWidth="1"/>
    <col min="10500" max="10500" width="2.7109375" style="2" customWidth="1"/>
    <col min="10501" max="10501" width="4" style="2" customWidth="1"/>
    <col min="10502" max="10502" width="2.7109375" style="2" customWidth="1"/>
    <col min="10503" max="10503" width="2" style="2" bestFit="1" customWidth="1"/>
    <col min="10504" max="10504" width="10.85546875" style="2" bestFit="1" customWidth="1"/>
    <col min="10505" max="10505" width="3.5703125" style="2" customWidth="1"/>
    <col min="10506" max="10506" width="8.7109375" style="2" bestFit="1" customWidth="1"/>
    <col min="10507" max="10507" width="3.28515625" style="2" bestFit="1" customWidth="1"/>
    <col min="10508" max="10508" width="4.140625" style="2" bestFit="1" customWidth="1"/>
    <col min="10509" max="10509" width="10.28515625" style="2" bestFit="1" customWidth="1"/>
    <col min="10510" max="10752" width="9.140625" style="2"/>
    <col min="10753" max="10753" width="25.5703125" style="2" customWidth="1"/>
    <col min="10754" max="10754" width="9.140625" style="2"/>
    <col min="10755" max="10755" width="5.85546875" style="2" customWidth="1"/>
    <col min="10756" max="10756" width="2.7109375" style="2" customWidth="1"/>
    <col min="10757" max="10757" width="4" style="2" customWidth="1"/>
    <col min="10758" max="10758" width="2.7109375" style="2" customWidth="1"/>
    <col min="10759" max="10759" width="2" style="2" bestFit="1" customWidth="1"/>
    <col min="10760" max="10760" width="10.85546875" style="2" bestFit="1" customWidth="1"/>
    <col min="10761" max="10761" width="3.5703125" style="2" customWidth="1"/>
    <col min="10762" max="10762" width="8.7109375" style="2" bestFit="1" customWidth="1"/>
    <col min="10763" max="10763" width="3.28515625" style="2" bestFit="1" customWidth="1"/>
    <col min="10764" max="10764" width="4.140625" style="2" bestFit="1" customWidth="1"/>
    <col min="10765" max="10765" width="10.28515625" style="2" bestFit="1" customWidth="1"/>
    <col min="10766" max="11008" width="9.140625" style="2"/>
    <col min="11009" max="11009" width="25.5703125" style="2" customWidth="1"/>
    <col min="11010" max="11010" width="9.140625" style="2"/>
    <col min="11011" max="11011" width="5.85546875" style="2" customWidth="1"/>
    <col min="11012" max="11012" width="2.7109375" style="2" customWidth="1"/>
    <col min="11013" max="11013" width="4" style="2" customWidth="1"/>
    <col min="11014" max="11014" width="2.7109375" style="2" customWidth="1"/>
    <col min="11015" max="11015" width="2" style="2" bestFit="1" customWidth="1"/>
    <col min="11016" max="11016" width="10.85546875" style="2" bestFit="1" customWidth="1"/>
    <col min="11017" max="11017" width="3.5703125" style="2" customWidth="1"/>
    <col min="11018" max="11018" width="8.7109375" style="2" bestFit="1" customWidth="1"/>
    <col min="11019" max="11019" width="3.28515625" style="2" bestFit="1" customWidth="1"/>
    <col min="11020" max="11020" width="4.140625" style="2" bestFit="1" customWidth="1"/>
    <col min="11021" max="11021" width="10.28515625" style="2" bestFit="1" customWidth="1"/>
    <col min="11022" max="11264" width="9.140625" style="2"/>
    <col min="11265" max="11265" width="25.5703125" style="2" customWidth="1"/>
    <col min="11266" max="11266" width="9.140625" style="2"/>
    <col min="11267" max="11267" width="5.85546875" style="2" customWidth="1"/>
    <col min="11268" max="11268" width="2.7109375" style="2" customWidth="1"/>
    <col min="11269" max="11269" width="4" style="2" customWidth="1"/>
    <col min="11270" max="11270" width="2.7109375" style="2" customWidth="1"/>
    <col min="11271" max="11271" width="2" style="2" bestFit="1" customWidth="1"/>
    <col min="11272" max="11272" width="10.85546875" style="2" bestFit="1" customWidth="1"/>
    <col min="11273" max="11273" width="3.5703125" style="2" customWidth="1"/>
    <col min="11274" max="11274" width="8.7109375" style="2" bestFit="1" customWidth="1"/>
    <col min="11275" max="11275" width="3.28515625" style="2" bestFit="1" customWidth="1"/>
    <col min="11276" max="11276" width="4.140625" style="2" bestFit="1" customWidth="1"/>
    <col min="11277" max="11277" width="10.28515625" style="2" bestFit="1" customWidth="1"/>
    <col min="11278" max="11520" width="9.140625" style="2"/>
    <col min="11521" max="11521" width="25.5703125" style="2" customWidth="1"/>
    <col min="11522" max="11522" width="9.140625" style="2"/>
    <col min="11523" max="11523" width="5.85546875" style="2" customWidth="1"/>
    <col min="11524" max="11524" width="2.7109375" style="2" customWidth="1"/>
    <col min="11525" max="11525" width="4" style="2" customWidth="1"/>
    <col min="11526" max="11526" width="2.7109375" style="2" customWidth="1"/>
    <col min="11527" max="11527" width="2" style="2" bestFit="1" customWidth="1"/>
    <col min="11528" max="11528" width="10.85546875" style="2" bestFit="1" customWidth="1"/>
    <col min="11529" max="11529" width="3.5703125" style="2" customWidth="1"/>
    <col min="11530" max="11530" width="8.7109375" style="2" bestFit="1" customWidth="1"/>
    <col min="11531" max="11531" width="3.28515625" style="2" bestFit="1" customWidth="1"/>
    <col min="11532" max="11532" width="4.140625" style="2" bestFit="1" customWidth="1"/>
    <col min="11533" max="11533" width="10.28515625" style="2" bestFit="1" customWidth="1"/>
    <col min="11534" max="11776" width="9.140625" style="2"/>
    <col min="11777" max="11777" width="25.5703125" style="2" customWidth="1"/>
    <col min="11778" max="11778" width="9.140625" style="2"/>
    <col min="11779" max="11779" width="5.85546875" style="2" customWidth="1"/>
    <col min="11780" max="11780" width="2.7109375" style="2" customWidth="1"/>
    <col min="11781" max="11781" width="4" style="2" customWidth="1"/>
    <col min="11782" max="11782" width="2.7109375" style="2" customWidth="1"/>
    <col min="11783" max="11783" width="2" style="2" bestFit="1" customWidth="1"/>
    <col min="11784" max="11784" width="10.85546875" style="2" bestFit="1" customWidth="1"/>
    <col min="11785" max="11785" width="3.5703125" style="2" customWidth="1"/>
    <col min="11786" max="11786" width="8.7109375" style="2" bestFit="1" customWidth="1"/>
    <col min="11787" max="11787" width="3.28515625" style="2" bestFit="1" customWidth="1"/>
    <col min="11788" max="11788" width="4.140625" style="2" bestFit="1" customWidth="1"/>
    <col min="11789" max="11789" width="10.28515625" style="2" bestFit="1" customWidth="1"/>
    <col min="11790" max="12032" width="9.140625" style="2"/>
    <col min="12033" max="12033" width="25.5703125" style="2" customWidth="1"/>
    <col min="12034" max="12034" width="9.140625" style="2"/>
    <col min="12035" max="12035" width="5.85546875" style="2" customWidth="1"/>
    <col min="12036" max="12036" width="2.7109375" style="2" customWidth="1"/>
    <col min="12037" max="12037" width="4" style="2" customWidth="1"/>
    <col min="12038" max="12038" width="2.7109375" style="2" customWidth="1"/>
    <col min="12039" max="12039" width="2" style="2" bestFit="1" customWidth="1"/>
    <col min="12040" max="12040" width="10.85546875" style="2" bestFit="1" customWidth="1"/>
    <col min="12041" max="12041" width="3.5703125" style="2" customWidth="1"/>
    <col min="12042" max="12042" width="8.7109375" style="2" bestFit="1" customWidth="1"/>
    <col min="12043" max="12043" width="3.28515625" style="2" bestFit="1" customWidth="1"/>
    <col min="12044" max="12044" width="4.140625" style="2" bestFit="1" customWidth="1"/>
    <col min="12045" max="12045" width="10.28515625" style="2" bestFit="1" customWidth="1"/>
    <col min="12046" max="12288" width="9.140625" style="2"/>
    <col min="12289" max="12289" width="25.5703125" style="2" customWidth="1"/>
    <col min="12290" max="12290" width="9.140625" style="2"/>
    <col min="12291" max="12291" width="5.85546875" style="2" customWidth="1"/>
    <col min="12292" max="12292" width="2.7109375" style="2" customWidth="1"/>
    <col min="12293" max="12293" width="4" style="2" customWidth="1"/>
    <col min="12294" max="12294" width="2.7109375" style="2" customWidth="1"/>
    <col min="12295" max="12295" width="2" style="2" bestFit="1" customWidth="1"/>
    <col min="12296" max="12296" width="10.85546875" style="2" bestFit="1" customWidth="1"/>
    <col min="12297" max="12297" width="3.5703125" style="2" customWidth="1"/>
    <col min="12298" max="12298" width="8.7109375" style="2" bestFit="1" customWidth="1"/>
    <col min="12299" max="12299" width="3.28515625" style="2" bestFit="1" customWidth="1"/>
    <col min="12300" max="12300" width="4.140625" style="2" bestFit="1" customWidth="1"/>
    <col min="12301" max="12301" width="10.28515625" style="2" bestFit="1" customWidth="1"/>
    <col min="12302" max="12544" width="9.140625" style="2"/>
    <col min="12545" max="12545" width="25.5703125" style="2" customWidth="1"/>
    <col min="12546" max="12546" width="9.140625" style="2"/>
    <col min="12547" max="12547" width="5.85546875" style="2" customWidth="1"/>
    <col min="12548" max="12548" width="2.7109375" style="2" customWidth="1"/>
    <col min="12549" max="12549" width="4" style="2" customWidth="1"/>
    <col min="12550" max="12550" width="2.7109375" style="2" customWidth="1"/>
    <col min="12551" max="12551" width="2" style="2" bestFit="1" customWidth="1"/>
    <col min="12552" max="12552" width="10.85546875" style="2" bestFit="1" customWidth="1"/>
    <col min="12553" max="12553" width="3.5703125" style="2" customWidth="1"/>
    <col min="12554" max="12554" width="8.7109375" style="2" bestFit="1" customWidth="1"/>
    <col min="12555" max="12555" width="3.28515625" style="2" bestFit="1" customWidth="1"/>
    <col min="12556" max="12556" width="4.140625" style="2" bestFit="1" customWidth="1"/>
    <col min="12557" max="12557" width="10.28515625" style="2" bestFit="1" customWidth="1"/>
    <col min="12558" max="12800" width="9.140625" style="2"/>
    <col min="12801" max="12801" width="25.5703125" style="2" customWidth="1"/>
    <col min="12802" max="12802" width="9.140625" style="2"/>
    <col min="12803" max="12803" width="5.85546875" style="2" customWidth="1"/>
    <col min="12804" max="12804" width="2.7109375" style="2" customWidth="1"/>
    <col min="12805" max="12805" width="4" style="2" customWidth="1"/>
    <col min="12806" max="12806" width="2.7109375" style="2" customWidth="1"/>
    <col min="12807" max="12807" width="2" style="2" bestFit="1" customWidth="1"/>
    <col min="12808" max="12808" width="10.85546875" style="2" bestFit="1" customWidth="1"/>
    <col min="12809" max="12809" width="3.5703125" style="2" customWidth="1"/>
    <col min="12810" max="12810" width="8.7109375" style="2" bestFit="1" customWidth="1"/>
    <col min="12811" max="12811" width="3.28515625" style="2" bestFit="1" customWidth="1"/>
    <col min="12812" max="12812" width="4.140625" style="2" bestFit="1" customWidth="1"/>
    <col min="12813" max="12813" width="10.28515625" style="2" bestFit="1" customWidth="1"/>
    <col min="12814" max="13056" width="9.140625" style="2"/>
    <col min="13057" max="13057" width="25.5703125" style="2" customWidth="1"/>
    <col min="13058" max="13058" width="9.140625" style="2"/>
    <col min="13059" max="13059" width="5.85546875" style="2" customWidth="1"/>
    <col min="13060" max="13060" width="2.7109375" style="2" customWidth="1"/>
    <col min="13061" max="13061" width="4" style="2" customWidth="1"/>
    <col min="13062" max="13062" width="2.7109375" style="2" customWidth="1"/>
    <col min="13063" max="13063" width="2" style="2" bestFit="1" customWidth="1"/>
    <col min="13064" max="13064" width="10.85546875" style="2" bestFit="1" customWidth="1"/>
    <col min="13065" max="13065" width="3.5703125" style="2" customWidth="1"/>
    <col min="13066" max="13066" width="8.7109375" style="2" bestFit="1" customWidth="1"/>
    <col min="13067" max="13067" width="3.28515625" style="2" bestFit="1" customWidth="1"/>
    <col min="13068" max="13068" width="4.140625" style="2" bestFit="1" customWidth="1"/>
    <col min="13069" max="13069" width="10.28515625" style="2" bestFit="1" customWidth="1"/>
    <col min="13070" max="13312" width="9.140625" style="2"/>
    <col min="13313" max="13313" width="25.5703125" style="2" customWidth="1"/>
    <col min="13314" max="13314" width="9.140625" style="2"/>
    <col min="13315" max="13315" width="5.85546875" style="2" customWidth="1"/>
    <col min="13316" max="13316" width="2.7109375" style="2" customWidth="1"/>
    <col min="13317" max="13317" width="4" style="2" customWidth="1"/>
    <col min="13318" max="13318" width="2.7109375" style="2" customWidth="1"/>
    <col min="13319" max="13319" width="2" style="2" bestFit="1" customWidth="1"/>
    <col min="13320" max="13320" width="10.85546875" style="2" bestFit="1" customWidth="1"/>
    <col min="13321" max="13321" width="3.5703125" style="2" customWidth="1"/>
    <col min="13322" max="13322" width="8.7109375" style="2" bestFit="1" customWidth="1"/>
    <col min="13323" max="13323" width="3.28515625" style="2" bestFit="1" customWidth="1"/>
    <col min="13324" max="13324" width="4.140625" style="2" bestFit="1" customWidth="1"/>
    <col min="13325" max="13325" width="10.28515625" style="2" bestFit="1" customWidth="1"/>
    <col min="13326" max="13568" width="9.140625" style="2"/>
    <col min="13569" max="13569" width="25.5703125" style="2" customWidth="1"/>
    <col min="13570" max="13570" width="9.140625" style="2"/>
    <col min="13571" max="13571" width="5.85546875" style="2" customWidth="1"/>
    <col min="13572" max="13572" width="2.7109375" style="2" customWidth="1"/>
    <col min="13573" max="13573" width="4" style="2" customWidth="1"/>
    <col min="13574" max="13574" width="2.7109375" style="2" customWidth="1"/>
    <col min="13575" max="13575" width="2" style="2" bestFit="1" customWidth="1"/>
    <col min="13576" max="13576" width="10.85546875" style="2" bestFit="1" customWidth="1"/>
    <col min="13577" max="13577" width="3.5703125" style="2" customWidth="1"/>
    <col min="13578" max="13578" width="8.7109375" style="2" bestFit="1" customWidth="1"/>
    <col min="13579" max="13579" width="3.28515625" style="2" bestFit="1" customWidth="1"/>
    <col min="13580" max="13580" width="4.140625" style="2" bestFit="1" customWidth="1"/>
    <col min="13581" max="13581" width="10.28515625" style="2" bestFit="1" customWidth="1"/>
    <col min="13582" max="13824" width="9.140625" style="2"/>
    <col min="13825" max="13825" width="25.5703125" style="2" customWidth="1"/>
    <col min="13826" max="13826" width="9.140625" style="2"/>
    <col min="13827" max="13827" width="5.85546875" style="2" customWidth="1"/>
    <col min="13828" max="13828" width="2.7109375" style="2" customWidth="1"/>
    <col min="13829" max="13829" width="4" style="2" customWidth="1"/>
    <col min="13830" max="13830" width="2.7109375" style="2" customWidth="1"/>
    <col min="13831" max="13831" width="2" style="2" bestFit="1" customWidth="1"/>
    <col min="13832" max="13832" width="10.85546875" style="2" bestFit="1" customWidth="1"/>
    <col min="13833" max="13833" width="3.5703125" style="2" customWidth="1"/>
    <col min="13834" max="13834" width="8.7109375" style="2" bestFit="1" customWidth="1"/>
    <col min="13835" max="13835" width="3.28515625" style="2" bestFit="1" customWidth="1"/>
    <col min="13836" max="13836" width="4.140625" style="2" bestFit="1" customWidth="1"/>
    <col min="13837" max="13837" width="10.28515625" style="2" bestFit="1" customWidth="1"/>
    <col min="13838" max="14080" width="9.140625" style="2"/>
    <col min="14081" max="14081" width="25.5703125" style="2" customWidth="1"/>
    <col min="14082" max="14082" width="9.140625" style="2"/>
    <col min="14083" max="14083" width="5.85546875" style="2" customWidth="1"/>
    <col min="14084" max="14084" width="2.7109375" style="2" customWidth="1"/>
    <col min="14085" max="14085" width="4" style="2" customWidth="1"/>
    <col min="14086" max="14086" width="2.7109375" style="2" customWidth="1"/>
    <col min="14087" max="14087" width="2" style="2" bestFit="1" customWidth="1"/>
    <col min="14088" max="14088" width="10.85546875" style="2" bestFit="1" customWidth="1"/>
    <col min="14089" max="14089" width="3.5703125" style="2" customWidth="1"/>
    <col min="14090" max="14090" width="8.7109375" style="2" bestFit="1" customWidth="1"/>
    <col min="14091" max="14091" width="3.28515625" style="2" bestFit="1" customWidth="1"/>
    <col min="14092" max="14092" width="4.140625" style="2" bestFit="1" customWidth="1"/>
    <col min="14093" max="14093" width="10.28515625" style="2" bestFit="1" customWidth="1"/>
    <col min="14094" max="14336" width="9.140625" style="2"/>
    <col min="14337" max="14337" width="25.5703125" style="2" customWidth="1"/>
    <col min="14338" max="14338" width="9.140625" style="2"/>
    <col min="14339" max="14339" width="5.85546875" style="2" customWidth="1"/>
    <col min="14340" max="14340" width="2.7109375" style="2" customWidth="1"/>
    <col min="14341" max="14341" width="4" style="2" customWidth="1"/>
    <col min="14342" max="14342" width="2.7109375" style="2" customWidth="1"/>
    <col min="14343" max="14343" width="2" style="2" bestFit="1" customWidth="1"/>
    <col min="14344" max="14344" width="10.85546875" style="2" bestFit="1" customWidth="1"/>
    <col min="14345" max="14345" width="3.5703125" style="2" customWidth="1"/>
    <col min="14346" max="14346" width="8.7109375" style="2" bestFit="1" customWidth="1"/>
    <col min="14347" max="14347" width="3.28515625" style="2" bestFit="1" customWidth="1"/>
    <col min="14348" max="14348" width="4.140625" style="2" bestFit="1" customWidth="1"/>
    <col min="14349" max="14349" width="10.28515625" style="2" bestFit="1" customWidth="1"/>
    <col min="14350" max="14592" width="9.140625" style="2"/>
    <col min="14593" max="14593" width="25.5703125" style="2" customWidth="1"/>
    <col min="14594" max="14594" width="9.140625" style="2"/>
    <col min="14595" max="14595" width="5.85546875" style="2" customWidth="1"/>
    <col min="14596" max="14596" width="2.7109375" style="2" customWidth="1"/>
    <col min="14597" max="14597" width="4" style="2" customWidth="1"/>
    <col min="14598" max="14598" width="2.7109375" style="2" customWidth="1"/>
    <col min="14599" max="14599" width="2" style="2" bestFit="1" customWidth="1"/>
    <col min="14600" max="14600" width="10.85546875" style="2" bestFit="1" customWidth="1"/>
    <col min="14601" max="14601" width="3.5703125" style="2" customWidth="1"/>
    <col min="14602" max="14602" width="8.7109375" style="2" bestFit="1" customWidth="1"/>
    <col min="14603" max="14603" width="3.28515625" style="2" bestFit="1" customWidth="1"/>
    <col min="14604" max="14604" width="4.140625" style="2" bestFit="1" customWidth="1"/>
    <col min="14605" max="14605" width="10.28515625" style="2" bestFit="1" customWidth="1"/>
    <col min="14606" max="14848" width="9.140625" style="2"/>
    <col min="14849" max="14849" width="25.5703125" style="2" customWidth="1"/>
    <col min="14850" max="14850" width="9.140625" style="2"/>
    <col min="14851" max="14851" width="5.85546875" style="2" customWidth="1"/>
    <col min="14852" max="14852" width="2.7109375" style="2" customWidth="1"/>
    <col min="14853" max="14853" width="4" style="2" customWidth="1"/>
    <col min="14854" max="14854" width="2.7109375" style="2" customWidth="1"/>
    <col min="14855" max="14855" width="2" style="2" bestFit="1" customWidth="1"/>
    <col min="14856" max="14856" width="10.85546875" style="2" bestFit="1" customWidth="1"/>
    <col min="14857" max="14857" width="3.5703125" style="2" customWidth="1"/>
    <col min="14858" max="14858" width="8.7109375" style="2" bestFit="1" customWidth="1"/>
    <col min="14859" max="14859" width="3.28515625" style="2" bestFit="1" customWidth="1"/>
    <col min="14860" max="14860" width="4.140625" style="2" bestFit="1" customWidth="1"/>
    <col min="14861" max="14861" width="10.28515625" style="2" bestFit="1" customWidth="1"/>
    <col min="14862" max="15104" width="9.140625" style="2"/>
    <col min="15105" max="15105" width="25.5703125" style="2" customWidth="1"/>
    <col min="15106" max="15106" width="9.140625" style="2"/>
    <col min="15107" max="15107" width="5.85546875" style="2" customWidth="1"/>
    <col min="15108" max="15108" width="2.7109375" style="2" customWidth="1"/>
    <col min="15109" max="15109" width="4" style="2" customWidth="1"/>
    <col min="15110" max="15110" width="2.7109375" style="2" customWidth="1"/>
    <col min="15111" max="15111" width="2" style="2" bestFit="1" customWidth="1"/>
    <col min="15112" max="15112" width="10.85546875" style="2" bestFit="1" customWidth="1"/>
    <col min="15113" max="15113" width="3.5703125" style="2" customWidth="1"/>
    <col min="15114" max="15114" width="8.7109375" style="2" bestFit="1" customWidth="1"/>
    <col min="15115" max="15115" width="3.28515625" style="2" bestFit="1" customWidth="1"/>
    <col min="15116" max="15116" width="4.140625" style="2" bestFit="1" customWidth="1"/>
    <col min="15117" max="15117" width="10.28515625" style="2" bestFit="1" customWidth="1"/>
    <col min="15118" max="15360" width="9.140625" style="2"/>
    <col min="15361" max="15361" width="25.5703125" style="2" customWidth="1"/>
    <col min="15362" max="15362" width="9.140625" style="2"/>
    <col min="15363" max="15363" width="5.85546875" style="2" customWidth="1"/>
    <col min="15364" max="15364" width="2.7109375" style="2" customWidth="1"/>
    <col min="15365" max="15365" width="4" style="2" customWidth="1"/>
    <col min="15366" max="15366" width="2.7109375" style="2" customWidth="1"/>
    <col min="15367" max="15367" width="2" style="2" bestFit="1" customWidth="1"/>
    <col min="15368" max="15368" width="10.85546875" style="2" bestFit="1" customWidth="1"/>
    <col min="15369" max="15369" width="3.5703125" style="2" customWidth="1"/>
    <col min="15370" max="15370" width="8.7109375" style="2" bestFit="1" customWidth="1"/>
    <col min="15371" max="15371" width="3.28515625" style="2" bestFit="1" customWidth="1"/>
    <col min="15372" max="15372" width="4.140625" style="2" bestFit="1" customWidth="1"/>
    <col min="15373" max="15373" width="10.28515625" style="2" bestFit="1" customWidth="1"/>
    <col min="15374" max="15616" width="9.140625" style="2"/>
    <col min="15617" max="15617" width="25.5703125" style="2" customWidth="1"/>
    <col min="15618" max="15618" width="9.140625" style="2"/>
    <col min="15619" max="15619" width="5.85546875" style="2" customWidth="1"/>
    <col min="15620" max="15620" width="2.7109375" style="2" customWidth="1"/>
    <col min="15621" max="15621" width="4" style="2" customWidth="1"/>
    <col min="15622" max="15622" width="2.7109375" style="2" customWidth="1"/>
    <col min="15623" max="15623" width="2" style="2" bestFit="1" customWidth="1"/>
    <col min="15624" max="15624" width="10.85546875" style="2" bestFit="1" customWidth="1"/>
    <col min="15625" max="15625" width="3.5703125" style="2" customWidth="1"/>
    <col min="15626" max="15626" width="8.7109375" style="2" bestFit="1" customWidth="1"/>
    <col min="15627" max="15627" width="3.28515625" style="2" bestFit="1" customWidth="1"/>
    <col min="15628" max="15628" width="4.140625" style="2" bestFit="1" customWidth="1"/>
    <col min="15629" max="15629" width="10.28515625" style="2" bestFit="1" customWidth="1"/>
    <col min="15630" max="15872" width="9.140625" style="2"/>
    <col min="15873" max="15873" width="25.5703125" style="2" customWidth="1"/>
    <col min="15874" max="15874" width="9.140625" style="2"/>
    <col min="15875" max="15875" width="5.85546875" style="2" customWidth="1"/>
    <col min="15876" max="15876" width="2.7109375" style="2" customWidth="1"/>
    <col min="15877" max="15877" width="4" style="2" customWidth="1"/>
    <col min="15878" max="15878" width="2.7109375" style="2" customWidth="1"/>
    <col min="15879" max="15879" width="2" style="2" bestFit="1" customWidth="1"/>
    <col min="15880" max="15880" width="10.85546875" style="2" bestFit="1" customWidth="1"/>
    <col min="15881" max="15881" width="3.5703125" style="2" customWidth="1"/>
    <col min="15882" max="15882" width="8.7109375" style="2" bestFit="1" customWidth="1"/>
    <col min="15883" max="15883" width="3.28515625" style="2" bestFit="1" customWidth="1"/>
    <col min="15884" max="15884" width="4.140625" style="2" bestFit="1" customWidth="1"/>
    <col min="15885" max="15885" width="10.28515625" style="2" bestFit="1" customWidth="1"/>
    <col min="15886" max="16128" width="9.140625" style="2"/>
    <col min="16129" max="16129" width="25.5703125" style="2" customWidth="1"/>
    <col min="16130" max="16130" width="9.140625" style="2"/>
    <col min="16131" max="16131" width="5.85546875" style="2" customWidth="1"/>
    <col min="16132" max="16132" width="2.7109375" style="2" customWidth="1"/>
    <col min="16133" max="16133" width="4" style="2" customWidth="1"/>
    <col min="16134" max="16134" width="2.7109375" style="2" customWidth="1"/>
    <col min="16135" max="16135" width="2" style="2" bestFit="1" customWidth="1"/>
    <col min="16136" max="16136" width="10.85546875" style="2" bestFit="1" customWidth="1"/>
    <col min="16137" max="16137" width="3.5703125" style="2" customWidth="1"/>
    <col min="16138" max="16138" width="8.7109375" style="2" bestFit="1" customWidth="1"/>
    <col min="16139" max="16139" width="3.28515625" style="2" bestFit="1" customWidth="1"/>
    <col min="16140" max="16140" width="4.140625" style="2" bestFit="1" customWidth="1"/>
    <col min="16141" max="16141" width="10.28515625" style="2" bestFit="1" customWidth="1"/>
    <col min="16142" max="16384" width="9.140625" style="2"/>
  </cols>
  <sheetData>
    <row r="1" spans="1:26" x14ac:dyDescent="0.2">
      <c r="A1" s="1" t="s">
        <v>0</v>
      </c>
    </row>
    <row r="2" spans="1:26" x14ac:dyDescent="0.2">
      <c r="A2" s="1" t="s">
        <v>1</v>
      </c>
      <c r="P2" s="2" t="s">
        <v>6</v>
      </c>
    </row>
    <row r="3" spans="1:26" x14ac:dyDescent="0.2">
      <c r="A3" s="116" t="s">
        <v>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P3" s="9" t="s">
        <v>9</v>
      </c>
      <c r="Q3" s="2" t="s">
        <v>10</v>
      </c>
    </row>
    <row r="4" spans="1:26" x14ac:dyDescent="0.2">
      <c r="A4" s="4" t="s">
        <v>3</v>
      </c>
    </row>
    <row r="5" spans="1:26" x14ac:dyDescent="0.2">
      <c r="A5" s="2" t="s">
        <v>4</v>
      </c>
    </row>
    <row r="6" spans="1:26" x14ac:dyDescent="0.2">
      <c r="B6" s="2" t="s">
        <v>5</v>
      </c>
    </row>
    <row r="8" spans="1:26" x14ac:dyDescent="0.2">
      <c r="B8" s="5" t="s">
        <v>7</v>
      </c>
      <c r="C8" s="6">
        <v>3</v>
      </c>
      <c r="D8" s="3" t="s">
        <v>8</v>
      </c>
      <c r="E8" s="6">
        <v>3</v>
      </c>
      <c r="F8" s="3" t="s">
        <v>8</v>
      </c>
      <c r="G8" s="117">
        <v>50.75</v>
      </c>
      <c r="H8" s="117"/>
      <c r="I8" s="7"/>
      <c r="J8" s="8"/>
      <c r="P8" s="9" t="s">
        <v>82</v>
      </c>
      <c r="Q8" s="2">
        <v>3</v>
      </c>
      <c r="R8" s="36" t="s">
        <v>157</v>
      </c>
      <c r="S8" s="2">
        <v>1.5</v>
      </c>
      <c r="T8" s="36" t="s">
        <v>158</v>
      </c>
      <c r="U8" s="2">
        <v>2.75</v>
      </c>
      <c r="V8" s="36" t="s">
        <v>157</v>
      </c>
      <c r="W8" s="2">
        <v>2</v>
      </c>
      <c r="X8" s="36" t="s">
        <v>159</v>
      </c>
      <c r="Y8" s="37">
        <v>48.5</v>
      </c>
      <c r="Z8" s="36" t="s">
        <v>156</v>
      </c>
    </row>
    <row r="9" spans="1:26" x14ac:dyDescent="0.2">
      <c r="B9" s="5" t="s">
        <v>7</v>
      </c>
      <c r="C9" s="115">
        <f>C8*E8*(G8+(H8/12))</f>
        <v>456.75</v>
      </c>
      <c r="D9" s="115"/>
      <c r="E9" s="115"/>
      <c r="F9" s="2" t="s">
        <v>11</v>
      </c>
      <c r="G9" s="10"/>
    </row>
    <row r="11" spans="1:26" x14ac:dyDescent="0.2">
      <c r="B11" s="5" t="s">
        <v>12</v>
      </c>
      <c r="C11" s="118">
        <v>150</v>
      </c>
      <c r="D11" s="118"/>
      <c r="E11" s="118"/>
      <c r="F11" s="119">
        <f>C9</f>
        <v>456.75</v>
      </c>
      <c r="G11" s="119"/>
      <c r="H11" s="119"/>
      <c r="I11" s="11" t="s">
        <v>13</v>
      </c>
    </row>
    <row r="12" spans="1:26" x14ac:dyDescent="0.2">
      <c r="B12" s="5" t="s">
        <v>12</v>
      </c>
      <c r="C12" s="120">
        <f>C11*F11*(1/1000)</f>
        <v>68.512500000000003</v>
      </c>
      <c r="D12" s="120"/>
      <c r="E12" s="120"/>
      <c r="F12" s="120"/>
      <c r="G12" s="120"/>
      <c r="H12" s="120"/>
    </row>
    <row r="14" spans="1:26" x14ac:dyDescent="0.2">
      <c r="A14" s="2" t="s">
        <v>14</v>
      </c>
    </row>
    <row r="15" spans="1:26" x14ac:dyDescent="0.2">
      <c r="B15" s="2" t="s">
        <v>15</v>
      </c>
    </row>
    <row r="17" spans="1:13" ht="12.75" customHeight="1" x14ac:dyDescent="0.2">
      <c r="A17" s="2" t="s">
        <v>16</v>
      </c>
      <c r="B17" s="5" t="s">
        <v>17</v>
      </c>
      <c r="C17" s="121">
        <v>2.87</v>
      </c>
      <c r="D17" s="121"/>
      <c r="E17" s="121"/>
      <c r="F17" s="121"/>
      <c r="G17" s="2" t="s">
        <v>18</v>
      </c>
      <c r="I17" s="122" t="s">
        <v>19</v>
      </c>
      <c r="J17" s="122"/>
      <c r="K17" s="122"/>
      <c r="L17" s="122"/>
      <c r="M17" s="122"/>
    </row>
    <row r="18" spans="1:13" x14ac:dyDescent="0.2">
      <c r="B18" s="5" t="s">
        <v>20</v>
      </c>
      <c r="C18" s="121">
        <v>2.89</v>
      </c>
      <c r="D18" s="121"/>
      <c r="E18" s="121"/>
      <c r="F18" s="121"/>
      <c r="G18" s="2" t="s">
        <v>18</v>
      </c>
      <c r="H18" s="12"/>
      <c r="I18" s="122"/>
      <c r="J18" s="122"/>
      <c r="K18" s="122"/>
      <c r="L18" s="122"/>
      <c r="M18" s="122"/>
    </row>
    <row r="19" spans="1:13" x14ac:dyDescent="0.2">
      <c r="B19" s="5" t="s">
        <v>21</v>
      </c>
      <c r="C19" s="123">
        <f>AVERAGE(C17:C18)</f>
        <v>2.88</v>
      </c>
      <c r="D19" s="123"/>
      <c r="E19" s="123"/>
      <c r="F19" s="123"/>
      <c r="G19" s="2" t="s">
        <v>18</v>
      </c>
      <c r="H19" s="12"/>
      <c r="I19" s="122"/>
      <c r="J19" s="122"/>
      <c r="K19" s="122"/>
      <c r="L19" s="122"/>
      <c r="M19" s="122"/>
    </row>
    <row r="21" spans="1:13" x14ac:dyDescent="0.2">
      <c r="A21" s="2" t="s">
        <v>22</v>
      </c>
      <c r="B21" s="5" t="s">
        <v>7</v>
      </c>
      <c r="C21" s="13">
        <v>2.5</v>
      </c>
      <c r="D21" s="3" t="s">
        <v>8</v>
      </c>
      <c r="E21" s="124">
        <f>C19</f>
        <v>2.88</v>
      </c>
      <c r="F21" s="124"/>
      <c r="G21" s="3" t="s">
        <v>8</v>
      </c>
      <c r="H21" s="14">
        <v>50.75</v>
      </c>
      <c r="I21" s="15"/>
      <c r="J21" s="15"/>
      <c r="K21" s="15"/>
      <c r="L21" s="16"/>
      <c r="M21" s="17"/>
    </row>
    <row r="22" spans="1:13" x14ac:dyDescent="0.2">
      <c r="B22" s="5" t="s">
        <v>7</v>
      </c>
      <c r="C22" s="115">
        <f>C21*E21*(H21+(J21/12)+L21+(M21/12))</f>
        <v>365.4</v>
      </c>
      <c r="D22" s="115"/>
      <c r="E22" s="115"/>
      <c r="F22" s="2" t="s">
        <v>11</v>
      </c>
      <c r="G22" s="10"/>
    </row>
    <row r="23" spans="1:13" x14ac:dyDescent="0.2">
      <c r="B23" s="5"/>
      <c r="C23" s="18"/>
      <c r="D23" s="18"/>
      <c r="E23" s="18"/>
      <c r="F23" s="18"/>
      <c r="G23" s="18"/>
    </row>
    <row r="24" spans="1:13" x14ac:dyDescent="0.2">
      <c r="B24" s="5" t="s">
        <v>23</v>
      </c>
      <c r="C24" s="118">
        <v>150</v>
      </c>
      <c r="D24" s="118"/>
      <c r="E24" s="118"/>
      <c r="F24" s="119">
        <f>C22</f>
        <v>365.4</v>
      </c>
      <c r="G24" s="119"/>
      <c r="H24" s="119"/>
      <c r="I24" s="11" t="s">
        <v>13</v>
      </c>
    </row>
    <row r="25" spans="1:13" x14ac:dyDescent="0.2">
      <c r="B25" s="5" t="s">
        <v>23</v>
      </c>
      <c r="C25" s="120">
        <f>C24*F24*(1/1000)</f>
        <v>54.81</v>
      </c>
      <c r="D25" s="120"/>
      <c r="E25" s="120"/>
      <c r="F25" s="120"/>
      <c r="G25" s="120"/>
      <c r="H25" s="120"/>
    </row>
    <row r="27" spans="1:13" x14ac:dyDescent="0.2">
      <c r="A27" s="2" t="s">
        <v>24</v>
      </c>
    </row>
    <row r="28" spans="1:13" x14ac:dyDescent="0.2">
      <c r="B28" s="2" t="s">
        <v>25</v>
      </c>
    </row>
    <row r="30" spans="1:13" x14ac:dyDescent="0.2">
      <c r="A30" s="2" t="s">
        <v>26</v>
      </c>
      <c r="B30" s="5" t="s">
        <v>27</v>
      </c>
      <c r="C30" s="126">
        <v>3.76</v>
      </c>
      <c r="D30" s="126"/>
      <c r="E30" s="2" t="s">
        <v>11</v>
      </c>
      <c r="F30" s="19"/>
      <c r="G30" s="19"/>
      <c r="I30" s="2" t="s">
        <v>28</v>
      </c>
    </row>
    <row r="31" spans="1:13" x14ac:dyDescent="0.2">
      <c r="B31" s="5"/>
    </row>
    <row r="32" spans="1:13" x14ac:dyDescent="0.2">
      <c r="B32" s="5" t="s">
        <v>29</v>
      </c>
      <c r="C32" s="118">
        <v>150</v>
      </c>
      <c r="D32" s="118"/>
      <c r="E32" s="118"/>
      <c r="F32" s="119">
        <f>C30</f>
        <v>3.76</v>
      </c>
      <c r="G32" s="119"/>
      <c r="H32" s="119"/>
      <c r="I32" s="11" t="s">
        <v>13</v>
      </c>
    </row>
    <row r="33" spans="1:14" x14ac:dyDescent="0.2">
      <c r="B33" s="5" t="s">
        <v>29</v>
      </c>
      <c r="C33" s="120">
        <f>C32*F32*(1/1000)</f>
        <v>0.56400000000000006</v>
      </c>
      <c r="D33" s="120"/>
      <c r="E33" s="120"/>
      <c r="F33" s="120"/>
      <c r="G33" s="120"/>
      <c r="H33" s="120"/>
    </row>
    <row r="35" spans="1:14" x14ac:dyDescent="0.2">
      <c r="A35" s="2" t="s">
        <v>30</v>
      </c>
      <c r="B35" s="5" t="s">
        <v>31</v>
      </c>
      <c r="C35" s="127" t="s">
        <v>32</v>
      </c>
      <c r="D35" s="127"/>
      <c r="E35" s="127"/>
      <c r="F35" s="127"/>
      <c r="G35" s="127"/>
      <c r="H35" s="127"/>
    </row>
    <row r="36" spans="1:14" x14ac:dyDescent="0.2">
      <c r="B36" s="5" t="s">
        <v>31</v>
      </c>
      <c r="C36" s="128">
        <f>C12</f>
        <v>68.512500000000003</v>
      </c>
      <c r="D36" s="128"/>
      <c r="E36" s="20" t="s">
        <v>33</v>
      </c>
      <c r="F36" s="128">
        <f>C25</f>
        <v>54.81</v>
      </c>
      <c r="G36" s="128"/>
      <c r="H36" s="128"/>
      <c r="I36" s="2" t="s">
        <v>33</v>
      </c>
      <c r="J36" s="21">
        <f>C33</f>
        <v>0.56400000000000006</v>
      </c>
    </row>
    <row r="37" spans="1:14" x14ac:dyDescent="0.2">
      <c r="B37" s="5" t="s">
        <v>31</v>
      </c>
      <c r="C37" s="125">
        <f>C33+C25+C12</f>
        <v>123.88650000000001</v>
      </c>
      <c r="D37" s="125"/>
      <c r="E37" s="125"/>
      <c r="F37" s="125"/>
      <c r="G37" s="125"/>
      <c r="H37" s="125"/>
    </row>
    <row r="38" spans="1:14" x14ac:dyDescent="0.2">
      <c r="B38" s="5"/>
      <c r="C38" s="22"/>
      <c r="D38" s="22"/>
      <c r="E38" s="22"/>
      <c r="F38" s="22"/>
      <c r="G38" s="22"/>
      <c r="H38" s="22"/>
    </row>
    <row r="39" spans="1:14" x14ac:dyDescent="0.2">
      <c r="A39" s="2" t="s">
        <v>34</v>
      </c>
      <c r="B39" s="5" t="s">
        <v>35</v>
      </c>
      <c r="C39" s="125">
        <f>'[2]3-Span Conc Deck Slab Reactions'!Q35</f>
        <v>127.41017547224997</v>
      </c>
      <c r="D39" s="125"/>
      <c r="E39" s="125"/>
      <c r="I39" s="2" t="s">
        <v>28</v>
      </c>
    </row>
    <row r="40" spans="1:14" x14ac:dyDescent="0.2">
      <c r="B40" s="5"/>
      <c r="C40" s="23"/>
    </row>
    <row r="41" spans="1:14" x14ac:dyDescent="0.2">
      <c r="A41" s="130" t="s">
        <v>36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</row>
    <row r="42" spans="1:14" x14ac:dyDescent="0.2">
      <c r="B42" s="5" t="s">
        <v>37</v>
      </c>
      <c r="C42" s="24" t="s">
        <v>38</v>
      </c>
    </row>
    <row r="43" spans="1:14" x14ac:dyDescent="0.2">
      <c r="B43" s="5" t="s">
        <v>37</v>
      </c>
      <c r="C43" s="24">
        <f>C37</f>
        <v>123.88650000000001</v>
      </c>
      <c r="D43" s="3" t="s">
        <v>39</v>
      </c>
      <c r="E43" s="125">
        <f>C39</f>
        <v>127.41017547224997</v>
      </c>
      <c r="F43" s="125"/>
      <c r="G43" s="125"/>
      <c r="H43" s="125"/>
    </row>
    <row r="44" spans="1:14" x14ac:dyDescent="0.2">
      <c r="B44" s="5" t="s">
        <v>37</v>
      </c>
      <c r="C44" s="125">
        <f>C43+E43</f>
        <v>251.29667547225</v>
      </c>
      <c r="D44" s="125"/>
      <c r="E44" s="125"/>
    </row>
    <row r="46" spans="1:14" x14ac:dyDescent="0.2">
      <c r="A46" s="2" t="s">
        <v>40</v>
      </c>
      <c r="B46" s="5" t="s">
        <v>41</v>
      </c>
      <c r="C46" s="125">
        <f>MAX('[2]3-Span Conc Deck Slab Reactions'!U79,'[2]3-Span Conc Deck Slab Reactions'!U57)</f>
        <v>121.6</v>
      </c>
      <c r="D46" s="125"/>
      <c r="E46" s="125"/>
      <c r="I46" s="2" t="s">
        <v>28</v>
      </c>
    </row>
    <row r="47" spans="1:14" x14ac:dyDescent="0.2">
      <c r="B47" s="3"/>
    </row>
    <row r="48" spans="1:14" x14ac:dyDescent="0.2">
      <c r="A48" s="2" t="s">
        <v>42</v>
      </c>
      <c r="B48" s="5" t="s">
        <v>43</v>
      </c>
      <c r="C48" s="2" t="s">
        <v>44</v>
      </c>
    </row>
    <row r="49" spans="1:12" x14ac:dyDescent="0.2">
      <c r="B49" s="5" t="s">
        <v>43</v>
      </c>
      <c r="C49" s="131">
        <f>C44</f>
        <v>251.29667547225</v>
      </c>
      <c r="D49" s="131"/>
      <c r="E49" s="131"/>
      <c r="F49" s="20" t="s">
        <v>33</v>
      </c>
      <c r="G49" s="127">
        <f>C46</f>
        <v>121.6</v>
      </c>
      <c r="H49" s="127"/>
      <c r="I49" s="127"/>
    </row>
    <row r="50" spans="1:12" x14ac:dyDescent="0.2">
      <c r="B50" s="5" t="s">
        <v>43</v>
      </c>
      <c r="C50" s="125">
        <f>C49+G49</f>
        <v>372.89667547224997</v>
      </c>
      <c r="D50" s="125"/>
      <c r="E50" s="125"/>
    </row>
    <row r="52" spans="1:12" x14ac:dyDescent="0.2">
      <c r="A52" s="9" t="s">
        <v>45</v>
      </c>
      <c r="B52" s="5" t="s">
        <v>46</v>
      </c>
      <c r="C52" s="132">
        <v>8</v>
      </c>
      <c r="D52" s="132"/>
      <c r="E52" s="2" t="s">
        <v>47</v>
      </c>
    </row>
    <row r="54" spans="1:12" x14ac:dyDescent="0.2">
      <c r="A54" s="2" t="s">
        <v>48</v>
      </c>
      <c r="B54" s="5" t="s">
        <v>49</v>
      </c>
      <c r="C54" s="2" t="s">
        <v>50</v>
      </c>
    </row>
    <row r="55" spans="1:12" x14ac:dyDescent="0.2">
      <c r="B55" s="5" t="s">
        <v>49</v>
      </c>
      <c r="C55" s="131">
        <f>C50</f>
        <v>372.89667547224997</v>
      </c>
      <c r="D55" s="131"/>
      <c r="E55" s="131"/>
      <c r="F55" s="2" t="s">
        <v>51</v>
      </c>
      <c r="G55" s="2">
        <f>C52</f>
        <v>8</v>
      </c>
      <c r="H55" s="2" t="s">
        <v>47</v>
      </c>
    </row>
    <row r="56" spans="1:12" x14ac:dyDescent="0.2">
      <c r="B56" s="5" t="s">
        <v>49</v>
      </c>
      <c r="C56" s="10">
        <f>C55/G55</f>
        <v>46.612084434031246</v>
      </c>
      <c r="D56" s="2" t="s">
        <v>52</v>
      </c>
      <c r="E56" s="10"/>
    </row>
    <row r="57" spans="1:12" x14ac:dyDescent="0.2">
      <c r="B57" s="5"/>
      <c r="C57" s="25"/>
      <c r="D57" s="25"/>
      <c r="E57" s="25"/>
    </row>
    <row r="58" spans="1:12" x14ac:dyDescent="0.2">
      <c r="A58" s="1" t="s">
        <v>53</v>
      </c>
      <c r="B58" s="5"/>
      <c r="C58" s="25"/>
      <c r="D58" s="25"/>
      <c r="E58" s="25"/>
    </row>
    <row r="59" spans="1:12" x14ac:dyDescent="0.2">
      <c r="B59" s="26" t="s">
        <v>49</v>
      </c>
      <c r="C59" s="133">
        <f>C56/2</f>
        <v>23.306042217015623</v>
      </c>
      <c r="D59" s="133"/>
      <c r="E59" s="133"/>
      <c r="F59" s="1" t="s">
        <v>54</v>
      </c>
      <c r="G59" s="1"/>
    </row>
    <row r="61" spans="1:12" x14ac:dyDescent="0.2">
      <c r="A61" s="1" t="s">
        <v>55</v>
      </c>
      <c r="B61" s="26" t="s">
        <v>56</v>
      </c>
      <c r="C61" s="134">
        <v>25</v>
      </c>
      <c r="D61" s="134"/>
      <c r="E61" s="134"/>
      <c r="F61" s="1" t="s">
        <v>54</v>
      </c>
      <c r="G61" s="1"/>
      <c r="H61" s="129" t="str">
        <f>IF(C61&gt;C59,"O.K.","Overstressed by:")</f>
        <v>O.K.</v>
      </c>
      <c r="I61" s="129"/>
      <c r="J61" s="129"/>
      <c r="K61" s="27" t="str">
        <f>IF(C59&lt;C61," ",(C59-C61)/C61)</f>
        <v xml:space="preserve"> </v>
      </c>
      <c r="L61" s="27"/>
    </row>
    <row r="62" spans="1:12" x14ac:dyDescent="0.2">
      <c r="A62" s="1"/>
    </row>
  </sheetData>
  <mergeCells count="36">
    <mergeCell ref="H61:J61"/>
    <mergeCell ref="A41:N41"/>
    <mergeCell ref="E43:H43"/>
    <mergeCell ref="C44:E44"/>
    <mergeCell ref="C46:E46"/>
    <mergeCell ref="C49:E49"/>
    <mergeCell ref="G49:I49"/>
    <mergeCell ref="C50:E50"/>
    <mergeCell ref="C52:D52"/>
    <mergeCell ref="C55:E55"/>
    <mergeCell ref="C59:E59"/>
    <mergeCell ref="C61:E61"/>
    <mergeCell ref="C39:E39"/>
    <mergeCell ref="C24:E24"/>
    <mergeCell ref="F24:H24"/>
    <mergeCell ref="C25:H25"/>
    <mergeCell ref="C30:D30"/>
    <mergeCell ref="C32:E32"/>
    <mergeCell ref="F32:H32"/>
    <mergeCell ref="C33:H33"/>
    <mergeCell ref="C35:H35"/>
    <mergeCell ref="C36:D36"/>
    <mergeCell ref="F36:H36"/>
    <mergeCell ref="C37:H37"/>
    <mergeCell ref="C22:E22"/>
    <mergeCell ref="A3:N3"/>
    <mergeCell ref="G8:H8"/>
    <mergeCell ref="C9:E9"/>
    <mergeCell ref="C11:E11"/>
    <mergeCell ref="F11:H11"/>
    <mergeCell ref="C12:H12"/>
    <mergeCell ref="C17:F17"/>
    <mergeCell ref="I17:M19"/>
    <mergeCell ref="C18:F18"/>
    <mergeCell ref="C19:F19"/>
    <mergeCell ref="E21:F21"/>
  </mergeCells>
  <conditionalFormatting sqref="H61:K61">
    <cfRule type="expression" dxfId="14" priority="1" stopIfTrue="1">
      <formula>IF($H$61="Overstressed by:",1)</formula>
    </cfRule>
  </conditionalFormatting>
  <pageMargins left="0.75" right="0.5" top="0.5" bottom="0.5" header="0" footer="0"/>
  <pageSetup scale="9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DD45E-C28F-4D5D-9A90-7E927A303CE5}">
  <sheetPr>
    <pageSetUpPr fitToPage="1"/>
  </sheetPr>
  <dimension ref="A1:AF66"/>
  <sheetViews>
    <sheetView tabSelected="1" workbookViewId="0">
      <selection activeCell="U14" sqref="U14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44770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/>
      <c r="I3" s="43"/>
      <c r="J3" s="41" t="s">
        <v>163</v>
      </c>
      <c r="K3" s="44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426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1</v>
      </c>
      <c r="J5" s="52" t="s">
        <v>170</v>
      </c>
      <c r="K5" s="100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28"/>
    </row>
    <row r="8" spans="1:28" x14ac:dyDescent="0.25">
      <c r="A8" s="28" t="s">
        <v>446</v>
      </c>
      <c r="G8" t="s">
        <v>427</v>
      </c>
    </row>
    <row r="9" spans="1:28" x14ac:dyDescent="0.25">
      <c r="A9" t="s">
        <v>467</v>
      </c>
    </row>
    <row r="11" spans="1:28" x14ac:dyDescent="0.25">
      <c r="A11" t="s">
        <v>468</v>
      </c>
    </row>
    <row r="12" spans="1:28" x14ac:dyDescent="0.25">
      <c r="A12" t="s">
        <v>221</v>
      </c>
      <c r="C12" t="str">
        <f>CONCATENATE(M12,N12,O12,P12,Q12,R12,S12,T12,U12,V12,W12,X12,Y12,Z12,AA12,AB12,AC12,AD12,AE12,AF12)</f>
        <v>12.03 k/brg x 2 brgs/beam x 8 beams = 192.48 kips</v>
      </c>
      <c r="M12" s="32">
        <f>Calcs!D26</f>
        <v>12.03</v>
      </c>
      <c r="N12" t="s">
        <v>218</v>
      </c>
      <c r="O12" s="29">
        <v>2</v>
      </c>
      <c r="P12" t="s">
        <v>219</v>
      </c>
      <c r="Q12" s="29">
        <v>8</v>
      </c>
      <c r="R12" t="s">
        <v>220</v>
      </c>
      <c r="S12" s="55">
        <f>M12*O12*Q12</f>
        <v>192.48</v>
      </c>
      <c r="T12" t="s">
        <v>186</v>
      </c>
    </row>
    <row r="13" spans="1:28" x14ac:dyDescent="0.25">
      <c r="A13" t="s">
        <v>223</v>
      </c>
      <c r="C13" t="str">
        <f>CONCATENATE(M13,N13,O13,P13,Q13,R13,S13,T13,U13,V13,W13,X13,Y13,Z13,AA13,AB13,AC13,AD13,AE13,AF13)</f>
        <v>0.5( 0.06 k/sq ft) x (39.17 ft x 32 ft) = 37.6 kips</v>
      </c>
      <c r="M13">
        <v>0.5</v>
      </c>
      <c r="N13" t="s">
        <v>95</v>
      </c>
      <c r="O13">
        <v>0.06</v>
      </c>
      <c r="P13" t="s">
        <v>224</v>
      </c>
      <c r="Q13" s="32">
        <f>Calcs!C57</f>
        <v>39.17</v>
      </c>
      <c r="R13" t="s">
        <v>177</v>
      </c>
      <c r="S13" s="32">
        <f>Calcs!C58</f>
        <v>32</v>
      </c>
      <c r="T13" t="s">
        <v>240</v>
      </c>
      <c r="U13" s="55">
        <f>ROUND(M13*O13*Q13*S13, 2)</f>
        <v>37.6</v>
      </c>
      <c r="V13" t="s">
        <v>186</v>
      </c>
    </row>
    <row r="15" spans="1:28" x14ac:dyDescent="0.25">
      <c r="C15" s="64" t="s">
        <v>469</v>
      </c>
      <c r="D15" s="110" t="str">
        <f t="shared" ref="D15" si="0">CONCATENATE(L15,M15,N15,O15,P15,Q15,R15,S15,T15,U15,V15,W15,X15,Y15,Z15)</f>
        <v xml:space="preserve">192.48 + 37.6 = 230.08 k </v>
      </c>
      <c r="E15" s="110"/>
      <c r="F15" s="110"/>
      <c r="M15" s="111">
        <f>S12</f>
        <v>192.48</v>
      </c>
      <c r="N15" t="s">
        <v>33</v>
      </c>
      <c r="O15" s="111">
        <f>U13</f>
        <v>37.6</v>
      </c>
      <c r="P15" t="s">
        <v>134</v>
      </c>
      <c r="Q15" s="111">
        <f>M15+O15</f>
        <v>230.07999999999998</v>
      </c>
      <c r="R15" t="s">
        <v>274</v>
      </c>
    </row>
    <row r="17" spans="1:19" s="110" customFormat="1" x14ac:dyDescent="0.25">
      <c r="A17" t="s">
        <v>470</v>
      </c>
      <c r="J17"/>
      <c r="K17"/>
    </row>
    <row r="18" spans="1:19" s="110" customFormat="1" x14ac:dyDescent="0.25">
      <c r="B18" s="64" t="s">
        <v>471</v>
      </c>
      <c r="C18" s="110" t="str">
        <f>CONCATENATE(K18,L18,M18,N18,O18,P18,Q18,R18,S18,T18,U18,V18,W18,X18,Y18)</f>
        <v xml:space="preserve">0.25 x Total DL = 0.25 x 230.08 k = 57.52 k </v>
      </c>
      <c r="J18"/>
      <c r="K18"/>
      <c r="L18">
        <f>IF(Q24&lt;0.05, 0.15, 0.25)</f>
        <v>0.25</v>
      </c>
      <c r="M18" t="s">
        <v>472</v>
      </c>
      <c r="N18" s="111">
        <f>L18</f>
        <v>0.25</v>
      </c>
      <c r="O18" t="s">
        <v>157</v>
      </c>
      <c r="P18" s="111">
        <f>Q15</f>
        <v>230.07999999999998</v>
      </c>
      <c r="Q18" t="s">
        <v>409</v>
      </c>
      <c r="R18" s="111">
        <f>ROUND(N18*P18,2)</f>
        <v>57.52</v>
      </c>
      <c r="S18" t="s">
        <v>274</v>
      </c>
    </row>
    <row r="19" spans="1:19" s="110" customFormat="1" x14ac:dyDescent="0.25">
      <c r="B19" s="64"/>
      <c r="J19"/>
      <c r="K19"/>
      <c r="L19"/>
      <c r="M19"/>
      <c r="N19"/>
      <c r="O19"/>
      <c r="P19"/>
      <c r="Q19"/>
      <c r="R19"/>
      <c r="S19"/>
    </row>
    <row r="20" spans="1:19" s="110" customFormat="1" x14ac:dyDescent="0.25">
      <c r="A20" t="s">
        <v>473</v>
      </c>
      <c r="J20"/>
    </row>
    <row r="21" spans="1:19" s="110" customFormat="1" x14ac:dyDescent="0.25">
      <c r="B21" s="64" t="s">
        <v>7</v>
      </c>
      <c r="C21" s="110" t="str">
        <f t="shared" ref="C21" si="1">CONCATENATE(K21,L21,M21,N21,O21,P21,Q21,R21,S21,T21,U21,V21,W21,X21,Y21)</f>
        <v xml:space="preserve">HSF / 2 Abuments = 57.52 k / 2 = 28.76 k </v>
      </c>
      <c r="J21"/>
      <c r="L21" t="s">
        <v>474</v>
      </c>
      <c r="M21" s="111">
        <f>R18</f>
        <v>57.52</v>
      </c>
      <c r="N21" t="s">
        <v>475</v>
      </c>
      <c r="O21" s="112">
        <v>2</v>
      </c>
      <c r="P21" t="s">
        <v>134</v>
      </c>
      <c r="Q21" s="111">
        <f>M21/O21</f>
        <v>28.76</v>
      </c>
      <c r="R21" t="s">
        <v>274</v>
      </c>
    </row>
    <row r="22" spans="1:19" s="110" customFormat="1" x14ac:dyDescent="0.25">
      <c r="B22" s="64"/>
      <c r="J22"/>
      <c r="K22"/>
      <c r="L22"/>
      <c r="M22"/>
      <c r="N22"/>
      <c r="O22"/>
      <c r="P22"/>
      <c r="Q22"/>
      <c r="R22"/>
      <c r="S22"/>
    </row>
    <row r="23" spans="1:19" s="110" customFormat="1" x14ac:dyDescent="0.25">
      <c r="B23" s="64"/>
      <c r="J23"/>
      <c r="K23"/>
      <c r="L23"/>
      <c r="M23"/>
      <c r="N23"/>
      <c r="O23"/>
      <c r="P23"/>
      <c r="Q23"/>
      <c r="R23"/>
      <c r="S23"/>
    </row>
    <row r="24" spans="1:19" x14ac:dyDescent="0.25">
      <c r="A24" t="s">
        <v>450</v>
      </c>
      <c r="C24" t="str">
        <f>CONCATENATE(L24,M24,N24,O24,P24,Q24,R24,S24,T24,U24,V24,W24,X24,Y24,Z24,AA24,AB24,AC24)</f>
        <v>1.6 x 0.035 = 0.056</v>
      </c>
      <c r="F24" t="s">
        <v>451</v>
      </c>
      <c r="M24">
        <f>C39</f>
        <v>1.6</v>
      </c>
      <c r="N24" t="s">
        <v>157</v>
      </c>
      <c r="O24" s="108">
        <f>B27</f>
        <v>3.5000000000000003E-2</v>
      </c>
      <c r="P24" t="s">
        <v>134</v>
      </c>
      <c r="Q24">
        <f>M24*O24</f>
        <v>5.6000000000000008E-2</v>
      </c>
    </row>
    <row r="25" spans="1:19" x14ac:dyDescent="0.25">
      <c r="A25" t="s">
        <v>452</v>
      </c>
      <c r="C25" t="str">
        <f>CONCATENATE(L25,M25,N25,O25,P25,Q25,R25,S25,T25,U25,V25,W25,X25,Y25,Z25,AA25,AB25,AC25)</f>
        <v>1.6 x 0.08 = 0.128</v>
      </c>
      <c r="F25" t="s">
        <v>453</v>
      </c>
      <c r="M25">
        <f>C50</f>
        <v>1.6</v>
      </c>
      <c r="N25" t="s">
        <v>157</v>
      </c>
      <c r="O25" s="108">
        <f>B28</f>
        <v>0.08</v>
      </c>
      <c r="P25" t="s">
        <v>134</v>
      </c>
      <c r="Q25">
        <f>M25*O25</f>
        <v>0.128</v>
      </c>
    </row>
    <row r="26" spans="1:19" s="110" customFormat="1" x14ac:dyDescent="0.25">
      <c r="B26" s="64"/>
      <c r="J26"/>
      <c r="K26"/>
      <c r="L26"/>
      <c r="M26"/>
      <c r="N26"/>
      <c r="O26"/>
      <c r="P26"/>
      <c r="Q26"/>
      <c r="R26"/>
      <c r="S26"/>
    </row>
    <row r="27" spans="1:19" x14ac:dyDescent="0.25">
      <c r="A27" t="s">
        <v>449</v>
      </c>
      <c r="B27" s="104">
        <v>3.5000000000000003E-2</v>
      </c>
      <c r="C27" t="s">
        <v>430</v>
      </c>
    </row>
    <row r="28" spans="1:19" x14ac:dyDescent="0.25">
      <c r="A28" t="s">
        <v>428</v>
      </c>
      <c r="B28" s="104">
        <v>0.08</v>
      </c>
      <c r="C28" t="s">
        <v>429</v>
      </c>
    </row>
    <row r="30" spans="1:19" x14ac:dyDescent="0.25">
      <c r="A30" s="105" t="s">
        <v>444</v>
      </c>
    </row>
    <row r="31" spans="1:19" x14ac:dyDescent="0.25">
      <c r="A31" s="105"/>
    </row>
    <row r="32" spans="1:19" x14ac:dyDescent="0.25">
      <c r="A32" s="28" t="s">
        <v>448</v>
      </c>
    </row>
    <row r="34" spans="1:7" x14ac:dyDescent="0.25">
      <c r="B34" s="140" t="s">
        <v>431</v>
      </c>
      <c r="C34" s="139" t="s">
        <v>432</v>
      </c>
      <c r="D34" s="139"/>
      <c r="E34" s="139"/>
      <c r="F34" s="139"/>
      <c r="G34" s="139"/>
    </row>
    <row r="35" spans="1:7" ht="30" x14ac:dyDescent="0.25">
      <c r="B35" s="140"/>
      <c r="C35" s="106" t="s">
        <v>433</v>
      </c>
      <c r="D35" s="106" t="s">
        <v>434</v>
      </c>
      <c r="E35" s="106" t="s">
        <v>435</v>
      </c>
      <c r="F35" s="106" t="s">
        <v>436</v>
      </c>
      <c r="G35" s="106" t="s">
        <v>437</v>
      </c>
    </row>
    <row r="36" spans="1:7" x14ac:dyDescent="0.25">
      <c r="B36" s="107" t="s">
        <v>438</v>
      </c>
      <c r="C36" s="107">
        <v>0.8</v>
      </c>
      <c r="D36" s="107">
        <v>0.8</v>
      </c>
      <c r="E36" s="107">
        <v>0.8</v>
      </c>
      <c r="F36" s="107">
        <v>0.8</v>
      </c>
      <c r="G36" s="107">
        <v>0.8</v>
      </c>
    </row>
    <row r="37" spans="1:7" x14ac:dyDescent="0.25">
      <c r="B37" s="107" t="s">
        <v>439</v>
      </c>
      <c r="C37" s="107">
        <v>1</v>
      </c>
      <c r="D37" s="107">
        <v>1</v>
      </c>
      <c r="E37" s="107">
        <v>1</v>
      </c>
      <c r="F37" s="107">
        <v>1</v>
      </c>
      <c r="G37" s="107">
        <v>1</v>
      </c>
    </row>
    <row r="38" spans="1:7" x14ac:dyDescent="0.25">
      <c r="B38" s="107" t="s">
        <v>440</v>
      </c>
      <c r="C38" s="107">
        <v>1.2</v>
      </c>
      <c r="D38" s="107">
        <v>1.2</v>
      </c>
      <c r="E38" s="107">
        <v>1.1000000000000001</v>
      </c>
      <c r="F38" s="107">
        <v>1</v>
      </c>
      <c r="G38" s="107">
        <v>1</v>
      </c>
    </row>
    <row r="39" spans="1:7" x14ac:dyDescent="0.25">
      <c r="B39" s="107" t="s">
        <v>441</v>
      </c>
      <c r="C39" s="107">
        <v>1.6</v>
      </c>
      <c r="D39" s="107">
        <v>1.4</v>
      </c>
      <c r="E39" s="107">
        <v>1.2</v>
      </c>
      <c r="F39" s="107">
        <v>1.1000000000000001</v>
      </c>
      <c r="G39" s="107">
        <v>1</v>
      </c>
    </row>
    <row r="40" spans="1:7" x14ac:dyDescent="0.25">
      <c r="B40" s="107" t="s">
        <v>442</v>
      </c>
      <c r="C40" s="107">
        <v>2.5</v>
      </c>
      <c r="D40" s="107">
        <v>1.7</v>
      </c>
      <c r="E40" s="107">
        <v>1.2</v>
      </c>
      <c r="F40" s="107">
        <v>0.9</v>
      </c>
      <c r="G40" s="107">
        <v>0.9</v>
      </c>
    </row>
    <row r="41" spans="1:7" ht="17.25" x14ac:dyDescent="0.25">
      <c r="B41" s="107" t="s">
        <v>443</v>
      </c>
      <c r="C41" s="107" t="s">
        <v>445</v>
      </c>
      <c r="D41" s="107" t="s">
        <v>445</v>
      </c>
      <c r="E41" s="107" t="s">
        <v>445</v>
      </c>
      <c r="F41" s="107" t="s">
        <v>445</v>
      </c>
      <c r="G41" s="107" t="s">
        <v>445</v>
      </c>
    </row>
    <row r="43" spans="1:7" x14ac:dyDescent="0.25">
      <c r="A43" s="28" t="s">
        <v>447</v>
      </c>
    </row>
    <row r="45" spans="1:7" x14ac:dyDescent="0.25">
      <c r="B45" s="140" t="s">
        <v>431</v>
      </c>
      <c r="C45" s="139" t="s">
        <v>432</v>
      </c>
      <c r="D45" s="139"/>
      <c r="E45" s="139"/>
      <c r="F45" s="139"/>
      <c r="G45" s="139"/>
    </row>
    <row r="46" spans="1:7" ht="30" x14ac:dyDescent="0.25">
      <c r="B46" s="140"/>
      <c r="C46" s="106" t="s">
        <v>433</v>
      </c>
      <c r="D46" s="106" t="s">
        <v>434</v>
      </c>
      <c r="E46" s="106" t="s">
        <v>435</v>
      </c>
      <c r="F46" s="106" t="s">
        <v>436</v>
      </c>
      <c r="G46" s="106" t="s">
        <v>437</v>
      </c>
    </row>
    <row r="47" spans="1:7" x14ac:dyDescent="0.25">
      <c r="B47" s="107" t="s">
        <v>438</v>
      </c>
      <c r="C47" s="107">
        <v>0.8</v>
      </c>
      <c r="D47" s="107">
        <v>0.8</v>
      </c>
      <c r="E47" s="107">
        <v>0.8</v>
      </c>
      <c r="F47" s="107">
        <v>0.8</v>
      </c>
      <c r="G47" s="107">
        <v>0.8</v>
      </c>
    </row>
    <row r="48" spans="1:7" x14ac:dyDescent="0.25">
      <c r="B48" s="107" t="s">
        <v>439</v>
      </c>
      <c r="C48" s="107">
        <v>1</v>
      </c>
      <c r="D48" s="107">
        <v>1</v>
      </c>
      <c r="E48" s="107">
        <v>1</v>
      </c>
      <c r="F48" s="107">
        <v>1</v>
      </c>
      <c r="G48" s="107">
        <v>1</v>
      </c>
    </row>
    <row r="49" spans="1:32" x14ac:dyDescent="0.25">
      <c r="B49" s="107" t="s">
        <v>440</v>
      </c>
      <c r="C49" s="107">
        <v>1.2</v>
      </c>
      <c r="D49" s="107">
        <v>1.2</v>
      </c>
      <c r="E49" s="107">
        <v>1.1000000000000001</v>
      </c>
      <c r="F49" s="107">
        <v>1</v>
      </c>
      <c r="G49" s="107">
        <v>1</v>
      </c>
    </row>
    <row r="50" spans="1:32" x14ac:dyDescent="0.25">
      <c r="B50" s="107" t="s">
        <v>441</v>
      </c>
      <c r="C50" s="107">
        <v>1.6</v>
      </c>
      <c r="D50" s="107">
        <v>1.4</v>
      </c>
      <c r="E50" s="107">
        <v>1.2</v>
      </c>
      <c r="F50" s="107">
        <v>1.1000000000000001</v>
      </c>
      <c r="G50" s="107">
        <v>1</v>
      </c>
    </row>
    <row r="51" spans="1:32" x14ac:dyDescent="0.25">
      <c r="B51" s="107" t="s">
        <v>442</v>
      </c>
      <c r="C51" s="107">
        <v>2.5</v>
      </c>
      <c r="D51" s="107">
        <v>1.7</v>
      </c>
      <c r="E51" s="107">
        <v>1.2</v>
      </c>
      <c r="F51" s="107">
        <v>0.9</v>
      </c>
      <c r="G51" s="107">
        <v>0.9</v>
      </c>
    </row>
    <row r="52" spans="1:32" ht="17.25" x14ac:dyDescent="0.25">
      <c r="B52" s="107" t="s">
        <v>443</v>
      </c>
      <c r="C52" s="107" t="s">
        <v>445</v>
      </c>
      <c r="D52" s="107" t="s">
        <v>445</v>
      </c>
      <c r="E52" s="107" t="s">
        <v>445</v>
      </c>
      <c r="F52" s="107" t="s">
        <v>445</v>
      </c>
      <c r="G52" s="107" t="s">
        <v>445</v>
      </c>
    </row>
    <row r="54" spans="1:32" x14ac:dyDescent="0.25">
      <c r="A54" s="28" t="s">
        <v>454</v>
      </c>
    </row>
    <row r="56" spans="1:32" x14ac:dyDescent="0.25">
      <c r="A56" t="s">
        <v>455</v>
      </c>
    </row>
    <row r="57" spans="1:32" x14ac:dyDescent="0.25">
      <c r="A57" t="s">
        <v>46</v>
      </c>
      <c r="B57" t="str">
        <f>CONCATENATE(K57,L57,M57,N57,O57,P57,Q57,R57,S57,T57,U57,V57,W57,X57,Y57,Z57,AA57,AB57,AC57,AD57,AE57,AF57)</f>
        <v>( 8 + 0.02 ( 39.17 ft ) + 0.08 ( 0  ) ( 1 + 0.000125( 0.6839⁰^2) = 8.78 in</v>
      </c>
      <c r="L57" t="s">
        <v>95</v>
      </c>
      <c r="M57">
        <v>8</v>
      </c>
      <c r="N57" t="s">
        <v>33</v>
      </c>
      <c r="O57">
        <v>0.02</v>
      </c>
      <c r="P57" t="s">
        <v>146</v>
      </c>
      <c r="Q57">
        <f>Calcs!C57</f>
        <v>39.17</v>
      </c>
      <c r="R57" t="s">
        <v>459</v>
      </c>
      <c r="S57">
        <v>0.08</v>
      </c>
      <c r="T57" t="s">
        <v>146</v>
      </c>
      <c r="U57">
        <v>0</v>
      </c>
      <c r="V57" t="s">
        <v>460</v>
      </c>
      <c r="W57">
        <v>1</v>
      </c>
      <c r="X57" t="s">
        <v>33</v>
      </c>
      <c r="Y57">
        <v>1.25E-4</v>
      </c>
      <c r="Z57" t="s">
        <v>95</v>
      </c>
      <c r="AA57">
        <f>Calcs!C61</f>
        <v>0.68389999999999995</v>
      </c>
      <c r="AB57" s="60" t="s">
        <v>461</v>
      </c>
      <c r="AC57">
        <v>2</v>
      </c>
      <c r="AD57" t="s">
        <v>114</v>
      </c>
      <c r="AE57">
        <f>ROUND((M57+(O57*Q57)+S57*U57)*(1+Y57*AA57^AC57), 2)</f>
        <v>8.7799999999999994</v>
      </c>
      <c r="AF57" t="s">
        <v>323</v>
      </c>
    </row>
    <row r="59" spans="1:32" x14ac:dyDescent="0.25">
      <c r="A59" t="s">
        <v>476</v>
      </c>
    </row>
    <row r="60" spans="1:32" x14ac:dyDescent="0.25">
      <c r="A60" s="64" t="s">
        <v>477</v>
      </c>
      <c r="B60">
        <v>0</v>
      </c>
      <c r="C60" t="s">
        <v>18</v>
      </c>
      <c r="D60" t="s">
        <v>480</v>
      </c>
    </row>
    <row r="61" spans="1:32" x14ac:dyDescent="0.25">
      <c r="A61" s="64" t="s">
        <v>478</v>
      </c>
      <c r="B61">
        <f>Q57</f>
        <v>39.17</v>
      </c>
      <c r="C61" t="s">
        <v>18</v>
      </c>
    </row>
    <row r="62" spans="1:32" x14ac:dyDescent="0.25">
      <c r="A62" s="64" t="s">
        <v>479</v>
      </c>
      <c r="B62">
        <f>AA57</f>
        <v>0.68389999999999995</v>
      </c>
      <c r="C62" s="60" t="s">
        <v>195</v>
      </c>
    </row>
    <row r="64" spans="1:32" x14ac:dyDescent="0.25">
      <c r="A64" t="s">
        <v>456</v>
      </c>
      <c r="B64" s="109">
        <f>IF(Q24&lt;0.05,0.75, 1)</f>
        <v>1</v>
      </c>
      <c r="D64" t="s">
        <v>457</v>
      </c>
    </row>
    <row r="65" spans="1:8" x14ac:dyDescent="0.25">
      <c r="A65" s="105" t="s">
        <v>463</v>
      </c>
    </row>
    <row r="66" spans="1:8" x14ac:dyDescent="0.25">
      <c r="A66" t="s">
        <v>462</v>
      </c>
      <c r="B66">
        <f>AE57*B64</f>
        <v>8.7799999999999994</v>
      </c>
      <c r="C66" t="s">
        <v>465</v>
      </c>
      <c r="D66" t="str">
        <f>IF(B66&lt;F66, "&lt; ", "&gt; ")</f>
        <v xml:space="preserve">&lt; </v>
      </c>
      <c r="E66" t="s">
        <v>464</v>
      </c>
      <c r="F66" s="29">
        <v>18</v>
      </c>
      <c r="G66" t="s">
        <v>465</v>
      </c>
      <c r="H66" s="62" t="str">
        <f>IF(B66&lt;F66, "GOOD", "FAILED")</f>
        <v>GOOD</v>
      </c>
    </row>
  </sheetData>
  <mergeCells count="5">
    <mergeCell ref="B45:B46"/>
    <mergeCell ref="C45:G45"/>
    <mergeCell ref="A1:A4"/>
    <mergeCell ref="B34:B35"/>
    <mergeCell ref="C34:G34"/>
  </mergeCells>
  <conditionalFormatting sqref="H66">
    <cfRule type="cellIs" dxfId="1" priority="1" operator="equal">
      <formula>"FAILED"</formula>
    </cfRule>
    <cfRule type="cellIs" dxfId="0" priority="2" operator="equal">
      <formula>"GOOD"</formula>
    </cfRule>
  </conditionalFormatting>
  <pageMargins left="0.25" right="0.25" top="0.75" bottom="0.75" header="0.3" footer="0.3"/>
  <pageSetup scale="6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40DA-1748-4C55-B27C-B86C0B4E1079}">
  <dimension ref="A1:AB7"/>
  <sheetViews>
    <sheetView topLeftCell="A16" workbookViewId="0">
      <selection activeCell="P36" sqref="P36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44754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1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136" t="s">
        <v>383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</sheetData>
  <mergeCells count="2">
    <mergeCell ref="A1:A4"/>
    <mergeCell ref="A7:K7"/>
  </mergeCells>
  <pageMargins left="0.25" right="0.25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31AA2-6BED-4997-A0B1-7EF305AFD80F}">
  <dimension ref="A1:AB44"/>
  <sheetViews>
    <sheetView topLeftCell="A23" workbookViewId="0">
      <selection activeCell="D44" sqref="D44"/>
    </sheetView>
  </sheetViews>
  <sheetFormatPr defaultRowHeight="15" x14ac:dyDescent="0.25"/>
  <cols>
    <col min="2" max="2" width="9.5703125" bestFit="1" customWidth="1"/>
    <col min="11" max="11" width="9.7109375" bestFit="1" customWidth="1"/>
    <col min="14" max="14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44754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2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116" t="s">
        <v>199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4"/>
      <c r="M7" s="4"/>
      <c r="N7" s="4"/>
    </row>
    <row r="8" spans="1:28" x14ac:dyDescent="0.25">
      <c r="A8" s="1" t="s">
        <v>236</v>
      </c>
    </row>
    <row r="9" spans="1:28" x14ac:dyDescent="0.25">
      <c r="A9" s="2" t="s">
        <v>289</v>
      </c>
    </row>
    <row r="10" spans="1:28" x14ac:dyDescent="0.25">
      <c r="A10" s="2" t="s">
        <v>278</v>
      </c>
      <c r="D10" s="2"/>
    </row>
    <row r="11" spans="1:28" x14ac:dyDescent="0.25">
      <c r="A11" s="2" t="s">
        <v>298</v>
      </c>
      <c r="B11" s="29">
        <v>48.5</v>
      </c>
      <c r="C11" t="s">
        <v>18</v>
      </c>
      <c r="D11" s="2"/>
    </row>
    <row r="13" spans="1:28" x14ac:dyDescent="0.25">
      <c r="A13" s="5" t="s">
        <v>7</v>
      </c>
      <c r="B13" t="str">
        <f>CONCATENATE(L13,M13,N13,O13,P13,Q13,R13,S13,T13,U13,V13,W13,X13,Y13,Z13,AA13,AB13)</f>
        <v>[(FH1 x FW1) + (FH2 x FW2)] x Lfoot</v>
      </c>
      <c r="L13" t="s">
        <v>176</v>
      </c>
    </row>
    <row r="14" spans="1:28" x14ac:dyDescent="0.25">
      <c r="A14" s="5" t="s">
        <v>7</v>
      </c>
      <c r="B14" t="str">
        <f>CONCATENATE(L14,M14,N14,O14,P14,Q14,R14,S14,T14,U14,V14,W14,X14,Y14,Z14,AA14,AB14)</f>
        <v>[(3 ft x 3.25 ft) + (0 ft x 0 ft)] x 48.5 ft = 472.875 cu ft</v>
      </c>
      <c r="L14" t="s">
        <v>82</v>
      </c>
      <c r="M14" s="29">
        <f>Calcs!D6</f>
        <v>3</v>
      </c>
      <c r="N14" t="s">
        <v>177</v>
      </c>
      <c r="O14" s="29">
        <f>Calcs!D8</f>
        <v>3.25</v>
      </c>
      <c r="P14" t="s">
        <v>178</v>
      </c>
      <c r="Q14" s="29">
        <f>Calcs!D7</f>
        <v>0</v>
      </c>
      <c r="R14" t="s">
        <v>177</v>
      </c>
      <c r="S14" s="29">
        <f>Calcs!D9</f>
        <v>0</v>
      </c>
      <c r="T14" t="s">
        <v>179</v>
      </c>
      <c r="U14" s="29">
        <f>B11</f>
        <v>48.5</v>
      </c>
      <c r="V14" t="s">
        <v>180</v>
      </c>
      <c r="W14" s="55">
        <f>((M14*O14)+(Q14*S14))*U14</f>
        <v>472.875</v>
      </c>
      <c r="X14" t="s">
        <v>181</v>
      </c>
    </row>
    <row r="16" spans="1:28" x14ac:dyDescent="0.25">
      <c r="A16" s="5" t="s">
        <v>280</v>
      </c>
      <c r="B16" t="str">
        <f>CONCATENATE(L16,M16,N16,O16,P16,Q16,R16,S16,T16,U16,V16,W16,X16,Y16,Z16,AA16,AB16)</f>
        <v>150 lbs/cu ft x472.875 cu ft x (1/1000)</v>
      </c>
      <c r="L16" s="29">
        <v>150</v>
      </c>
      <c r="M16" t="s">
        <v>182</v>
      </c>
      <c r="N16" s="55">
        <f>W14</f>
        <v>472.875</v>
      </c>
      <c r="O16" t="s">
        <v>183</v>
      </c>
    </row>
    <row r="17" spans="1:24" x14ac:dyDescent="0.25">
      <c r="A17" s="5" t="s">
        <v>280</v>
      </c>
      <c r="B17" s="137">
        <f>ROUND(L16*N16*(1/1000), 1)</f>
        <v>70.900000000000006</v>
      </c>
      <c r="C17" s="137"/>
      <c r="D17" s="137"/>
      <c r="E17" s="137"/>
      <c r="F17" s="137"/>
      <c r="G17" s="137"/>
    </row>
    <row r="19" spans="1:24" x14ac:dyDescent="0.25">
      <c r="A19" s="2" t="s">
        <v>14</v>
      </c>
    </row>
    <row r="20" spans="1:24" x14ac:dyDescent="0.25">
      <c r="A20" s="2" t="s">
        <v>279</v>
      </c>
    </row>
    <row r="22" spans="1:24" x14ac:dyDescent="0.25">
      <c r="A22" s="5" t="s">
        <v>7</v>
      </c>
      <c r="B22" t="str">
        <f>CONCATENATE(L22,M22,N22,O22,P22,Q22,R22,S22,T22,U22,V22,W22,X22,Y22,Z22,AA22,AB22)</f>
        <v>[(Hbw(avg) x Wbw) + (Haseat x Waseat)] x Lbw</v>
      </c>
      <c r="L22" t="s">
        <v>184</v>
      </c>
    </row>
    <row r="23" spans="1:24" x14ac:dyDescent="0.25">
      <c r="A23" s="5" t="s">
        <v>7</v>
      </c>
      <c r="B23" t="str">
        <f>CONCATENATE(L23,M23,N23,O23,P23,Q23,R23,S23,T23,U23,V23,W23,X23,Y23,Z23,AA23,AB23)</f>
        <v>[(5.43 ft x 2.5 ft) + (0.98 ft x 0.92 ft)] x 32.5 ft = 470.49 cu ft</v>
      </c>
      <c r="L23" t="s">
        <v>82</v>
      </c>
      <c r="M23" s="29">
        <f>Calcs!D17</f>
        <v>5.43</v>
      </c>
      <c r="N23" t="s">
        <v>177</v>
      </c>
      <c r="O23" s="29">
        <f>Calcs!D22</f>
        <v>2.5</v>
      </c>
      <c r="P23" t="s">
        <v>178</v>
      </c>
      <c r="Q23" s="29">
        <f>Calcs!D19</f>
        <v>0.98</v>
      </c>
      <c r="R23" t="s">
        <v>177</v>
      </c>
      <c r="S23" s="29">
        <f>ROUND(Calcs!D20,4)</f>
        <v>0.92</v>
      </c>
      <c r="T23" t="s">
        <v>179</v>
      </c>
      <c r="U23" s="29">
        <f>Calcs!D21</f>
        <v>32.5</v>
      </c>
      <c r="V23" t="s">
        <v>180</v>
      </c>
      <c r="W23" s="55">
        <f>ROUND(((M23*O23)+(Q23*S23))*U23,2)</f>
        <v>470.49</v>
      </c>
      <c r="X23" t="s">
        <v>181</v>
      </c>
    </row>
    <row r="25" spans="1:24" x14ac:dyDescent="0.25">
      <c r="A25" s="5" t="s">
        <v>281</v>
      </c>
      <c r="B25" t="str">
        <f>CONCATENATE(L25,M25,N25,O25,P25,Q25,R25,S25,T25,U25,V25,W25,X25,Y25,Z25,AA25,AB25)</f>
        <v>150 lbs/cu ft x 470.49 cu ft x (1/1000)</v>
      </c>
      <c r="L25" s="29">
        <v>150</v>
      </c>
      <c r="M25" t="s">
        <v>198</v>
      </c>
      <c r="N25" s="55">
        <f>W23</f>
        <v>470.49</v>
      </c>
      <c r="O25" t="s">
        <v>183</v>
      </c>
    </row>
    <row r="26" spans="1:24" x14ac:dyDescent="0.25">
      <c r="A26" s="5" t="s">
        <v>281</v>
      </c>
      <c r="B26" s="137">
        <f>ROUND(L25*N25*(1/1000), 1)</f>
        <v>70.599999999999994</v>
      </c>
      <c r="C26" s="137"/>
      <c r="D26" s="137"/>
      <c r="E26" s="137"/>
      <c r="F26" s="137"/>
      <c r="G26" s="137"/>
    </row>
    <row r="28" spans="1:24" x14ac:dyDescent="0.25">
      <c r="A28" s="2" t="s">
        <v>24</v>
      </c>
    </row>
    <row r="29" spans="1:24" x14ac:dyDescent="0.25">
      <c r="A29" s="2" t="s">
        <v>297</v>
      </c>
    </row>
    <row r="31" spans="1:24" x14ac:dyDescent="0.25">
      <c r="A31" s="5" t="s">
        <v>7</v>
      </c>
      <c r="B31" t="str">
        <f t="shared" ref="B31:B33" si="0">CONCATENATE(L31,M31,N31,O31,P31,Q31,R31,S31,T31,U31,V31,W31,X31,Y31,Z31,AA31,AB31)</f>
        <v>Hww x Www x Lcombww</v>
      </c>
      <c r="L31" t="s">
        <v>185</v>
      </c>
    </row>
    <row r="32" spans="1:24" x14ac:dyDescent="0.25">
      <c r="A32" s="5" t="s">
        <v>7</v>
      </c>
      <c r="B32" t="str">
        <f t="shared" si="0"/>
        <v>7.36 ft x 2.5 ft x 16 ft = 294.4 cu ft</v>
      </c>
      <c r="L32" s="29">
        <f>Calcs!D15</f>
        <v>7.36</v>
      </c>
      <c r="M32" t="s">
        <v>177</v>
      </c>
      <c r="N32" s="29">
        <f>Calcs!D22</f>
        <v>2.5</v>
      </c>
      <c r="O32" t="s">
        <v>177</v>
      </c>
      <c r="P32" s="29">
        <f>Calcs!D16</f>
        <v>16</v>
      </c>
      <c r="Q32" t="s">
        <v>180</v>
      </c>
      <c r="R32" s="55">
        <f>L32*N32*P32</f>
        <v>294.40000000000003</v>
      </c>
      <c r="S32" t="s">
        <v>181</v>
      </c>
    </row>
    <row r="33" spans="1:17" x14ac:dyDescent="0.25">
      <c r="B33" t="str">
        <f t="shared" si="0"/>
        <v/>
      </c>
    </row>
    <row r="34" spans="1:17" x14ac:dyDescent="0.25">
      <c r="A34" s="5" t="s">
        <v>282</v>
      </c>
      <c r="B34" t="str">
        <f>CONCATENATE(L34,M34,N34,O34,P34,Q34,R34,S34,T34,U34,V34,W34,X34,Y34,Z34,AA34,AB34)</f>
        <v>150 lbs/cu ft x294.4 cu ft x (1/1000)</v>
      </c>
      <c r="L34" s="29">
        <v>150</v>
      </c>
      <c r="M34" t="s">
        <v>182</v>
      </c>
      <c r="N34" s="55">
        <f>R32</f>
        <v>294.40000000000003</v>
      </c>
      <c r="O34" t="s">
        <v>183</v>
      </c>
    </row>
    <row r="35" spans="1:17" x14ac:dyDescent="0.25">
      <c r="A35" s="5" t="s">
        <v>282</v>
      </c>
      <c r="B35" s="137">
        <f>ROUND(L34*N34*(1/1000), 1)</f>
        <v>44.2</v>
      </c>
      <c r="C35" s="137"/>
      <c r="D35" s="137"/>
      <c r="E35" s="137"/>
      <c r="F35" s="137"/>
      <c r="G35" s="137"/>
    </row>
    <row r="36" spans="1:17" x14ac:dyDescent="0.25">
      <c r="A36" s="5"/>
      <c r="B36" s="68"/>
      <c r="C36" s="68"/>
      <c r="D36" s="68"/>
      <c r="E36" s="68"/>
      <c r="F36" s="68"/>
      <c r="G36" s="68"/>
    </row>
    <row r="37" spans="1:17" x14ac:dyDescent="0.25">
      <c r="A37" s="20" t="s">
        <v>466</v>
      </c>
      <c r="B37" s="68"/>
      <c r="C37" s="68"/>
      <c r="D37" s="68"/>
      <c r="E37" s="68"/>
      <c r="F37" s="68"/>
      <c r="G37" s="68"/>
    </row>
    <row r="38" spans="1:17" x14ac:dyDescent="0.25">
      <c r="A38" s="5" t="s">
        <v>290</v>
      </c>
      <c r="B38" s="68" t="s">
        <v>291</v>
      </c>
      <c r="C38" s="68"/>
      <c r="D38" s="68"/>
      <c r="E38" s="68"/>
      <c r="F38" s="68"/>
      <c r="G38" s="68"/>
    </row>
    <row r="39" spans="1:17" x14ac:dyDescent="0.25">
      <c r="A39" s="5" t="s">
        <v>290</v>
      </c>
      <c r="B39" t="str">
        <f>CONCATENATE(L39,M39,N39,O39,P39,Q39,R39,S39,T39,U39,V39,W39,X39,Y39,Z39,AA39,AB39)</f>
        <v>70.6 kip + 44.2 kip = 114.8 kip</v>
      </c>
      <c r="L39" s="99">
        <f>B26</f>
        <v>70.599999999999994</v>
      </c>
      <c r="M39" t="s">
        <v>399</v>
      </c>
      <c r="N39" s="99">
        <f>B35</f>
        <v>44.2</v>
      </c>
      <c r="O39" t="s">
        <v>400</v>
      </c>
      <c r="P39" s="69">
        <f>L39+N39</f>
        <v>114.8</v>
      </c>
      <c r="Q39" t="s">
        <v>398</v>
      </c>
    </row>
    <row r="40" spans="1:17" x14ac:dyDescent="0.25">
      <c r="A40" s="5"/>
    </row>
    <row r="41" spans="1:17" x14ac:dyDescent="0.25">
      <c r="A41" s="2" t="s">
        <v>30</v>
      </c>
    </row>
    <row r="42" spans="1:17" x14ac:dyDescent="0.25">
      <c r="A42" s="5" t="s">
        <v>283</v>
      </c>
      <c r="B42" s="127" t="s">
        <v>292</v>
      </c>
      <c r="C42" s="127"/>
      <c r="D42" s="127"/>
      <c r="E42" s="127"/>
      <c r="F42" s="127"/>
      <c r="G42" s="127"/>
    </row>
    <row r="43" spans="1:17" x14ac:dyDescent="0.25">
      <c r="A43" s="5" t="s">
        <v>283</v>
      </c>
      <c r="B43" t="str">
        <f>CONCATENATE(L43,M43,N43,O43,P43,Q43,R43,S43,T43,U43,V43,W43,X43,Y43,Z43,AA43,AB43)</f>
        <v>70.9 kip + 114.8 kip</v>
      </c>
      <c r="L43" s="57">
        <f>B17</f>
        <v>70.900000000000006</v>
      </c>
      <c r="M43" t="s">
        <v>399</v>
      </c>
      <c r="N43" s="57">
        <f>P39</f>
        <v>114.8</v>
      </c>
      <c r="O43" t="s">
        <v>398</v>
      </c>
      <c r="P43" s="57"/>
    </row>
    <row r="44" spans="1:17" x14ac:dyDescent="0.25">
      <c r="A44" s="5" t="s">
        <v>283</v>
      </c>
      <c r="B44">
        <f>ROUND(L43+N43, 1)</f>
        <v>185.7</v>
      </c>
      <c r="C44" t="s">
        <v>398</v>
      </c>
    </row>
  </sheetData>
  <mergeCells count="6">
    <mergeCell ref="B35:G35"/>
    <mergeCell ref="B42:G42"/>
    <mergeCell ref="A1:A4"/>
    <mergeCell ref="A7:K7"/>
    <mergeCell ref="B17:G17"/>
    <mergeCell ref="B26:G26"/>
  </mergeCells>
  <pageMargins left="0.25" right="0.25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BBD5D-5786-4799-A4E0-09CF1B254170}">
  <dimension ref="A1:AC30"/>
  <sheetViews>
    <sheetView workbookViewId="0">
      <selection activeCell="M13" sqref="M13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44754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3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116" t="s">
        <v>199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8" spans="1:28" x14ac:dyDescent="0.25">
      <c r="A8" s="28"/>
    </row>
    <row r="9" spans="1:28" x14ac:dyDescent="0.25">
      <c r="A9" s="30" t="s">
        <v>401</v>
      </c>
    </row>
    <row r="10" spans="1:28" x14ac:dyDescent="0.25">
      <c r="A10" t="s">
        <v>211</v>
      </c>
      <c r="D10" s="29">
        <v>12.03</v>
      </c>
      <c r="E10" t="s">
        <v>217</v>
      </c>
      <c r="F10" t="s">
        <v>293</v>
      </c>
    </row>
    <row r="11" spans="1:28" x14ac:dyDescent="0.25">
      <c r="A11" t="s">
        <v>212</v>
      </c>
      <c r="D11" s="29">
        <v>13.23</v>
      </c>
      <c r="E11" t="s">
        <v>217</v>
      </c>
      <c r="F11" t="s">
        <v>293</v>
      </c>
    </row>
    <row r="13" spans="1:28" x14ac:dyDescent="0.25">
      <c r="A13" t="s">
        <v>221</v>
      </c>
      <c r="C13" t="str">
        <f>CONCATENATE(M13,N13,O13,P13,Q13,R13,S13,T13,U13,V13,W13,X13,Y13,Z13,AA13,AB13,AC13,AD13,AE13,AF13)</f>
        <v>12.03 k/brg x 2 brgs/beam x 8 beams = 192.48 kips</v>
      </c>
      <c r="M13" s="32">
        <f>Calcs!D26</f>
        <v>12.03</v>
      </c>
      <c r="N13" t="s">
        <v>218</v>
      </c>
      <c r="O13" s="29">
        <v>2</v>
      </c>
      <c r="P13" t="s">
        <v>219</v>
      </c>
      <c r="Q13" s="29">
        <v>8</v>
      </c>
      <c r="R13" t="s">
        <v>220</v>
      </c>
      <c r="S13" s="55">
        <f>M13*O13*Q13</f>
        <v>192.48</v>
      </c>
      <c r="T13" t="s">
        <v>186</v>
      </c>
    </row>
    <row r="14" spans="1:28" x14ac:dyDescent="0.25">
      <c r="A14" t="s">
        <v>222</v>
      </c>
      <c r="C14" t="str">
        <f>CONCATENATE(M14,N14,O14,P14,Q14,R14,S14,T14,U14,V14,W14,X14,Y14,Z14,AA14,AB14,AC14,AD14,AE14,AF14)</f>
        <v>13.23 k/brg x 2 brgs/beam x 8 beams = 211.68 kips</v>
      </c>
      <c r="M14" s="32">
        <f>Calcs!D27</f>
        <v>13.23</v>
      </c>
      <c r="N14" t="s">
        <v>218</v>
      </c>
      <c r="O14" s="29">
        <v>2</v>
      </c>
      <c r="P14" t="s">
        <v>219</v>
      </c>
      <c r="Q14" s="29">
        <v>8</v>
      </c>
      <c r="R14" t="s">
        <v>220</v>
      </c>
      <c r="S14" s="55">
        <f>M14*O14*Q14</f>
        <v>211.68</v>
      </c>
      <c r="T14" t="s">
        <v>186</v>
      </c>
    </row>
    <row r="15" spans="1:28" x14ac:dyDescent="0.25">
      <c r="A15" t="s">
        <v>223</v>
      </c>
      <c r="C15" t="str">
        <f>CONCATENATE(M15,N15,O15,P15,Q15,R15,S15,T15,U15,V15,W15,X15,Y15,Z15,AA15,AB15,AC15,AD15,AE15,AF15)</f>
        <v>0.5( 0.06 k/sq ft) x (39.17 ft x 32.33 ft) = 37.99 kips</v>
      </c>
      <c r="M15">
        <v>0.5</v>
      </c>
      <c r="N15" t="s">
        <v>95</v>
      </c>
      <c r="O15">
        <v>0.06</v>
      </c>
      <c r="P15" t="s">
        <v>224</v>
      </c>
      <c r="Q15" s="32">
        <f>D18</f>
        <v>39.17</v>
      </c>
      <c r="R15" t="s">
        <v>177</v>
      </c>
      <c r="S15" s="32">
        <f>G18</f>
        <v>32.33</v>
      </c>
      <c r="T15" t="s">
        <v>240</v>
      </c>
      <c r="U15" s="55">
        <f>ROUND(M15*O15*Q15*S15, 2)</f>
        <v>37.99</v>
      </c>
      <c r="V15" t="s">
        <v>186</v>
      </c>
    </row>
    <row r="16" spans="1:28" x14ac:dyDescent="0.25">
      <c r="Q16" s="32"/>
      <c r="S16" s="32"/>
      <c r="U16" s="55"/>
    </row>
    <row r="17" spans="1:29" x14ac:dyDescent="0.25">
      <c r="A17" s="28" t="s">
        <v>402</v>
      </c>
    </row>
    <row r="18" spans="1:29" x14ac:dyDescent="0.25">
      <c r="A18" t="s">
        <v>294</v>
      </c>
      <c r="C18" t="s">
        <v>295</v>
      </c>
      <c r="D18" s="29">
        <v>39.17</v>
      </c>
      <c r="E18" t="s">
        <v>18</v>
      </c>
      <c r="F18" t="s">
        <v>296</v>
      </c>
      <c r="G18" s="29">
        <v>32.33</v>
      </c>
      <c r="H18" t="s">
        <v>18</v>
      </c>
    </row>
    <row r="19" spans="1:29" x14ac:dyDescent="0.25">
      <c r="Q19" s="32"/>
      <c r="S19" s="32"/>
      <c r="U19" s="55"/>
    </row>
    <row r="20" spans="1:29" x14ac:dyDescent="0.25">
      <c r="A20" s="28" t="s">
        <v>103</v>
      </c>
    </row>
    <row r="21" spans="1:29" x14ac:dyDescent="0.25">
      <c r="A21" t="s">
        <v>73</v>
      </c>
      <c r="B21" s="29">
        <v>20</v>
      </c>
      <c r="C21" t="s">
        <v>18</v>
      </c>
      <c r="D21" t="s">
        <v>304</v>
      </c>
      <c r="F21" t="str">
        <f>CONCATENATE(M21,N21,O21,P21,Q21,R21,S21,T21,U21,V21,W21,X21,Y21,Z21,AA21,AB21,AC21,AD21,AE21,AF21,AG21,AH21,AI21)</f>
        <v>(Asl x 2/3) = (20 ft x 2/3) = 13.33 ft</v>
      </c>
      <c r="M21" t="s">
        <v>299</v>
      </c>
      <c r="O21">
        <f>B21</f>
        <v>20</v>
      </c>
      <c r="P21" t="s">
        <v>177</v>
      </c>
      <c r="Q21">
        <v>2</v>
      </c>
      <c r="R21" t="s">
        <v>229</v>
      </c>
      <c r="S21">
        <v>3</v>
      </c>
      <c r="T21" t="s">
        <v>114</v>
      </c>
      <c r="U21">
        <f>ROUND(O21*Q21/S21, 2)</f>
        <v>13.33</v>
      </c>
      <c r="V21" t="s">
        <v>300</v>
      </c>
    </row>
    <row r="22" spans="1:29" ht="17.25" x14ac:dyDescent="0.25">
      <c r="A22" t="s">
        <v>99</v>
      </c>
      <c r="B22" s="29">
        <v>32</v>
      </c>
      <c r="C22" t="s">
        <v>18</v>
      </c>
      <c r="D22" t="s">
        <v>100</v>
      </c>
      <c r="E22" s="29">
        <f>ROUND(13/12, 3)</f>
        <v>1.083</v>
      </c>
      <c r="F22" t="s">
        <v>18</v>
      </c>
      <c r="H22" s="64" t="s">
        <v>403</v>
      </c>
      <c r="I22" s="29">
        <v>0.15</v>
      </c>
      <c r="J22" t="s">
        <v>305</v>
      </c>
    </row>
    <row r="23" spans="1:29" ht="17.25" x14ac:dyDescent="0.25">
      <c r="A23" t="s">
        <v>302</v>
      </c>
      <c r="C23" s="29">
        <v>0.64</v>
      </c>
      <c r="D23" t="s">
        <v>301</v>
      </c>
      <c r="E23" t="s">
        <v>303</v>
      </c>
      <c r="H23" s="64" t="s">
        <v>404</v>
      </c>
      <c r="I23" s="29">
        <v>0.06</v>
      </c>
      <c r="J23" t="s">
        <v>106</v>
      </c>
    </row>
    <row r="24" spans="1:29" x14ac:dyDescent="0.25">
      <c r="A24" t="s">
        <v>310</v>
      </c>
      <c r="C24" s="29">
        <v>32</v>
      </c>
      <c r="D24" t="s">
        <v>152</v>
      </c>
      <c r="E24" t="s">
        <v>311</v>
      </c>
      <c r="H24" s="29"/>
    </row>
    <row r="26" spans="1:29" ht="18.75" x14ac:dyDescent="0.35">
      <c r="A26" t="s">
        <v>107</v>
      </c>
      <c r="C26" t="str">
        <f>CONCATENATE(M26,N26,O26,P26,Q26,R26,S26,X26,Y26,T26,U26,V26,W26,Z26,AA26,AB26,AC26,AD26,AE26,AF26)</f>
        <v>(20 FT x 32 FT x (1.083 ft x 0.15 k/FT^3 ) = 103.97 k</v>
      </c>
      <c r="M26" t="s">
        <v>108</v>
      </c>
      <c r="N26" s="29">
        <f>B21</f>
        <v>20</v>
      </c>
      <c r="O26" t="s">
        <v>83</v>
      </c>
      <c r="P26" s="29">
        <f>B22</f>
        <v>32</v>
      </c>
      <c r="Q26" t="s">
        <v>109</v>
      </c>
      <c r="R26" s="29">
        <f>E22</f>
        <v>1.083</v>
      </c>
      <c r="S26" t="s">
        <v>177</v>
      </c>
      <c r="T26" s="29">
        <f>I22</f>
        <v>0.15</v>
      </c>
      <c r="U26" t="s">
        <v>309</v>
      </c>
      <c r="V26" s="32">
        <f>ROUND(N26*P26*R26*T26,2)</f>
        <v>103.97</v>
      </c>
      <c r="W26" t="s">
        <v>90</v>
      </c>
    </row>
    <row r="27" spans="1:29" x14ac:dyDescent="0.25">
      <c r="T27" t="s">
        <v>306</v>
      </c>
    </row>
    <row r="28" spans="1:29" x14ac:dyDescent="0.25">
      <c r="A28" t="s">
        <v>307</v>
      </c>
      <c r="C28" t="str">
        <f>CONCATENATE(M28,N28,O28,P28,Q28,R28,S28,T28,U28,V28,W28,X28,Y28,Z28,AA28,AB28,AC28,AD28,AE28,AF28)</f>
        <v>(103.97 k ) ( 2 / 3) ( 1 / 2) = 34.66 k</v>
      </c>
      <c r="M28" t="s">
        <v>108</v>
      </c>
      <c r="N28" s="32">
        <f>V26</f>
        <v>103.97</v>
      </c>
      <c r="O28" t="s">
        <v>112</v>
      </c>
      <c r="P28" s="29">
        <v>2</v>
      </c>
      <c r="Q28" t="s">
        <v>51</v>
      </c>
      <c r="R28" s="29">
        <v>3</v>
      </c>
      <c r="S28" t="s">
        <v>113</v>
      </c>
      <c r="T28" s="29">
        <v>1</v>
      </c>
      <c r="U28" t="s">
        <v>51</v>
      </c>
      <c r="V28" s="29">
        <v>2</v>
      </c>
      <c r="W28" t="s">
        <v>114</v>
      </c>
      <c r="X28" s="32">
        <f>ROUND(N28*P28/R28*T28/V28,2)</f>
        <v>34.659999999999997</v>
      </c>
      <c r="Y28" t="s">
        <v>90</v>
      </c>
    </row>
    <row r="29" spans="1:29" x14ac:dyDescent="0.25">
      <c r="A29" t="s">
        <v>226</v>
      </c>
      <c r="C29" t="str">
        <f>CONCATENATE(M29,N29,O29,P29,Q29,R29,S29,T29,U29,V29,W29,X29,Y29,Z29,AA29,AB29,AC29,AD29,AE29,AF29)</f>
        <v>32 k + 0.5( 0.64 k/ft ) ( 13.33 ft ) = 36.27 k</v>
      </c>
      <c r="M29">
        <f>C24</f>
        <v>32</v>
      </c>
      <c r="N29" t="s">
        <v>276</v>
      </c>
      <c r="O29">
        <v>0.5</v>
      </c>
      <c r="P29" t="s">
        <v>95</v>
      </c>
      <c r="Q29">
        <f>C23</f>
        <v>0.64</v>
      </c>
      <c r="R29" t="s">
        <v>313</v>
      </c>
      <c r="S29">
        <f>U21</f>
        <v>13.33</v>
      </c>
      <c r="T29" t="s">
        <v>314</v>
      </c>
      <c r="U29" s="32">
        <f>ROUND(M29+O29*Q29*S29, 2)</f>
        <v>36.270000000000003</v>
      </c>
      <c r="V29" t="s">
        <v>90</v>
      </c>
    </row>
    <row r="30" spans="1:29" x14ac:dyDescent="0.25">
      <c r="A30" t="s">
        <v>227</v>
      </c>
      <c r="C30" t="str">
        <f>CONCATENATE(M30,N30,O30,P30,Q30,R30,S30,T30,U30,V30,W30,X30,Y30,Z30,AA30,AB30,AC30,AD29,AE29,AF29)</f>
        <v>(0.06k/FT^2 ) (20 FT ) x (32 FT ) x (2 / 3) ( 1 / 2) = 12.8 k</v>
      </c>
      <c r="M30" t="s">
        <v>108</v>
      </c>
      <c r="N30" s="29">
        <f>I23</f>
        <v>0.06</v>
      </c>
      <c r="O30" t="s">
        <v>315</v>
      </c>
      <c r="P30" s="29">
        <f>B21</f>
        <v>20</v>
      </c>
      <c r="Q30" t="s">
        <v>117</v>
      </c>
      <c r="R30" s="29">
        <f>B22</f>
        <v>32</v>
      </c>
      <c r="S30" t="s">
        <v>117</v>
      </c>
      <c r="T30" s="29">
        <v>2</v>
      </c>
      <c r="U30" t="s">
        <v>51</v>
      </c>
      <c r="V30" s="29">
        <v>3</v>
      </c>
      <c r="W30" t="s">
        <v>113</v>
      </c>
      <c r="X30" s="29">
        <v>1</v>
      </c>
      <c r="Y30" t="s">
        <v>51</v>
      </c>
      <c r="Z30" s="29">
        <v>2</v>
      </c>
      <c r="AA30" t="s">
        <v>114</v>
      </c>
      <c r="AB30" s="32">
        <f>ROUND(N30*P30*R30*T30/V30*X30/Z30,2)</f>
        <v>12.8</v>
      </c>
      <c r="AC30" t="s">
        <v>90</v>
      </c>
    </row>
  </sheetData>
  <mergeCells count="2">
    <mergeCell ref="A1:A4"/>
    <mergeCell ref="A7:K7"/>
  </mergeCells>
  <pageMargins left="0.25" right="0.25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640EB-55F5-404B-9183-86EC6D6F0734}">
  <dimension ref="A1:AB46"/>
  <sheetViews>
    <sheetView topLeftCell="A18" workbookViewId="0">
      <selection activeCell="A21" sqref="A21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44754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4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116" t="s">
        <v>199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</row>
    <row r="9" spans="1:28" x14ac:dyDescent="0.25">
      <c r="A9" s="28" t="s">
        <v>122</v>
      </c>
    </row>
    <row r="11" spans="1:28" ht="17.25" x14ac:dyDescent="0.3">
      <c r="A11" s="70" t="s">
        <v>316</v>
      </c>
      <c r="B11" s="70"/>
      <c r="C11" s="70"/>
      <c r="D11" s="60" t="s">
        <v>317</v>
      </c>
      <c r="E11" s="70"/>
      <c r="F11" t="s">
        <v>319</v>
      </c>
    </row>
    <row r="12" spans="1:28" x14ac:dyDescent="0.25">
      <c r="A12" s="71" t="s">
        <v>318</v>
      </c>
      <c r="B12" t="str">
        <f>CONCATENATE(L12,M12,N12,O12,P12,Q12,R12,S12,T12,U12,V12,W12,X12,Y12,Z12,AA12,AB12,AC12,AD12,AE12)</f>
        <v>0.000006 x (39.17 ft x 12 x 2 / 3) x (105⁰ F (-) -5⁰ F ) = 0.21 in</v>
      </c>
      <c r="M12">
        <v>6.0000000000000002E-6</v>
      </c>
      <c r="N12" t="s">
        <v>320</v>
      </c>
      <c r="O12">
        <v>39.17</v>
      </c>
      <c r="P12" t="s">
        <v>177</v>
      </c>
      <c r="Q12">
        <v>12</v>
      </c>
      <c r="R12" t="s">
        <v>157</v>
      </c>
      <c r="S12">
        <v>2</v>
      </c>
      <c r="T12" t="s">
        <v>51</v>
      </c>
      <c r="U12">
        <v>3</v>
      </c>
      <c r="V12" t="s">
        <v>204</v>
      </c>
      <c r="W12">
        <v>105</v>
      </c>
      <c r="X12" s="60" t="s">
        <v>322</v>
      </c>
      <c r="Y12">
        <v>-5</v>
      </c>
      <c r="Z12" s="60" t="s">
        <v>321</v>
      </c>
      <c r="AA12">
        <f>ROUND(M12*O12*Q12*S12/U12*(W12-Y12), 2)</f>
        <v>0.21</v>
      </c>
      <c r="AB12" t="s">
        <v>323</v>
      </c>
    </row>
    <row r="13" spans="1:28" x14ac:dyDescent="0.25">
      <c r="A13" s="71"/>
      <c r="X13" s="60"/>
      <c r="Z13" s="60"/>
    </row>
    <row r="14" spans="1:28" x14ac:dyDescent="0.25">
      <c r="A14" t="s">
        <v>324</v>
      </c>
    </row>
    <row r="15" spans="1:28" x14ac:dyDescent="0.25">
      <c r="A15" s="71" t="s">
        <v>325</v>
      </c>
      <c r="B15" t="str">
        <f>CONCATENATE(L15,M15,N15,O15,P15,Q15,R15,S15,T15,U15,V15,W15,X15,Y15,Z15,AA15,AB15,AC15,AD15,AE15)</f>
        <v>0.21 in / (9.16 ft x 12) = 0.002, Use (ko)</v>
      </c>
      <c r="F15" t="s">
        <v>410</v>
      </c>
      <c r="M15">
        <f>AA12</f>
        <v>0.21</v>
      </c>
      <c r="N15" t="s">
        <v>326</v>
      </c>
      <c r="O15">
        <f>G19</f>
        <v>9.16</v>
      </c>
      <c r="P15" t="s">
        <v>177</v>
      </c>
      <c r="Q15">
        <v>12</v>
      </c>
      <c r="R15" t="s">
        <v>114</v>
      </c>
      <c r="S15">
        <f>ROUND(M15/(O15*Q15),3)</f>
        <v>2E-3</v>
      </c>
      <c r="T15" t="s">
        <v>411</v>
      </c>
    </row>
    <row r="16" spans="1:28" x14ac:dyDescent="0.25">
      <c r="A16" s="71"/>
    </row>
    <row r="17" spans="1:22" x14ac:dyDescent="0.25">
      <c r="A17" s="58" t="s">
        <v>335</v>
      </c>
      <c r="E17" s="63" t="s">
        <v>412</v>
      </c>
    </row>
    <row r="18" spans="1:22" ht="18" x14ac:dyDescent="0.35">
      <c r="A18" s="59" t="s">
        <v>344</v>
      </c>
      <c r="G18" s="29">
        <v>120</v>
      </c>
      <c r="H18" t="s">
        <v>191</v>
      </c>
      <c r="I18" t="s">
        <v>192</v>
      </c>
    </row>
    <row r="19" spans="1:22" x14ac:dyDescent="0.25">
      <c r="A19" s="58" t="s">
        <v>188</v>
      </c>
      <c r="G19" s="29">
        <f>Calcs!D23</f>
        <v>9.16</v>
      </c>
      <c r="H19" t="s">
        <v>18</v>
      </c>
      <c r="I19" t="s">
        <v>197</v>
      </c>
    </row>
    <row r="20" spans="1:22" x14ac:dyDescent="0.25">
      <c r="A20" s="58" t="s">
        <v>328</v>
      </c>
      <c r="G20" s="29">
        <v>32</v>
      </c>
      <c r="H20" s="60" t="s">
        <v>195</v>
      </c>
      <c r="I20" t="s">
        <v>192</v>
      </c>
      <c r="N20">
        <f>PI()/180*G20</f>
        <v>0.55850536063818546</v>
      </c>
    </row>
    <row r="21" spans="1:22" x14ac:dyDescent="0.25">
      <c r="A21" s="58" t="s">
        <v>242</v>
      </c>
      <c r="G21" s="55">
        <f>0.67*G20</f>
        <v>21.44</v>
      </c>
      <c r="H21" s="60" t="s">
        <v>195</v>
      </c>
      <c r="I21" t="s">
        <v>243</v>
      </c>
      <c r="N21">
        <f>PI()/180*G21</f>
        <v>0.37419859162758429</v>
      </c>
    </row>
    <row r="23" spans="1:22" x14ac:dyDescent="0.25">
      <c r="A23" t="s">
        <v>329</v>
      </c>
      <c r="C23" t="s">
        <v>327</v>
      </c>
    </row>
    <row r="24" spans="1:22" x14ac:dyDescent="0.25">
      <c r="A24" t="s">
        <v>330</v>
      </c>
      <c r="B24" t="str">
        <f>CONCATENATE(L24,M24,N24,O24,P24,Q24,R24,S24,T24,U24,V24,W24,X24,Y24,Z24,AA24,AB24,AC24,AD24,AE24)</f>
        <v>1 - sin 32⁰ = 0.47</v>
      </c>
      <c r="M24">
        <v>1</v>
      </c>
      <c r="N24" t="s">
        <v>331</v>
      </c>
      <c r="O24">
        <f>G20</f>
        <v>32</v>
      </c>
      <c r="P24" s="60" t="s">
        <v>246</v>
      </c>
      <c r="Q24" s="55">
        <f>ROUND(1-SIN(N20),2)</f>
        <v>0.47</v>
      </c>
    </row>
    <row r="25" spans="1:22" x14ac:dyDescent="0.25">
      <c r="A25" s="58"/>
      <c r="P25" s="60"/>
      <c r="Q25" s="55"/>
    </row>
    <row r="26" spans="1:22" x14ac:dyDescent="0.25">
      <c r="A26" s="58" t="s">
        <v>202</v>
      </c>
      <c r="C26" t="s">
        <v>334</v>
      </c>
    </row>
    <row r="27" spans="1:22" x14ac:dyDescent="0.25">
      <c r="A27" s="58" t="s">
        <v>207</v>
      </c>
      <c r="B27" t="str">
        <f>CONCATENATE(L27,M27,N27,O27,P27,Q27,R27,S27,T27,U27,V27,W27,X27,Y27,Z27,AA27,AB27,AC27,AD27,AE27)</f>
        <v>0.47 x 120 lbs/ft^3 x 9.16 ft / 1000 = 0.517 k/ft</v>
      </c>
      <c r="M27">
        <f>Q24</f>
        <v>0.47</v>
      </c>
      <c r="N27" t="s">
        <v>157</v>
      </c>
      <c r="O27">
        <f>G18</f>
        <v>120</v>
      </c>
      <c r="P27" t="s">
        <v>332</v>
      </c>
      <c r="Q27">
        <f>G19</f>
        <v>9.16</v>
      </c>
      <c r="R27" t="s">
        <v>333</v>
      </c>
      <c r="S27">
        <v>1000</v>
      </c>
      <c r="T27" t="s">
        <v>134</v>
      </c>
      <c r="U27">
        <f>ROUND(M27*O27*Q27/1000, 3)</f>
        <v>0.51700000000000002</v>
      </c>
      <c r="V27" t="s">
        <v>312</v>
      </c>
    </row>
    <row r="29" spans="1:22" ht="18" x14ac:dyDescent="0.25">
      <c r="A29" s="72" t="s">
        <v>336</v>
      </c>
    </row>
    <row r="30" spans="1:22" ht="18" x14ac:dyDescent="0.25">
      <c r="A30" s="72" t="s">
        <v>337</v>
      </c>
      <c r="B30" t="str">
        <f>CONCATENATE(L30,M30,N30,O30,P30,Q30,R30,S30,T30,U30,V30,W30,X30,Y30,Z30,AA30,AB30,AC30,AD30,AE30)</f>
        <v>0.5 ( 0.517 k/ft x 9.16 ft x 48.5 ft) = 114.84 k</v>
      </c>
      <c r="M30">
        <v>0.5</v>
      </c>
      <c r="N30" t="s">
        <v>146</v>
      </c>
      <c r="O30">
        <f>U27</f>
        <v>0.51700000000000002</v>
      </c>
      <c r="P30" t="s">
        <v>215</v>
      </c>
      <c r="Q30">
        <f>G19</f>
        <v>9.16</v>
      </c>
      <c r="R30" t="s">
        <v>177</v>
      </c>
      <c r="S30">
        <v>48.5</v>
      </c>
      <c r="T30" t="s">
        <v>240</v>
      </c>
      <c r="U30">
        <f>ROUND(M30*O30*Q30*S30, 2)</f>
        <v>114.84</v>
      </c>
      <c r="V30" t="s">
        <v>90</v>
      </c>
    </row>
    <row r="32" spans="1:22" ht="18" x14ac:dyDescent="0.25">
      <c r="A32" s="72" t="s">
        <v>338</v>
      </c>
      <c r="B32" t="str">
        <f>CONCATENATE(L32,M32,N32,O32,P32,Q32,R32,S32,T32,U32,V32,W32,X32,Y32,Z32,AA32,AB32,AC32,AD32,AE32)</f>
        <v>114.84 k ( sin 21.44⁰ ) = 41.98 k</v>
      </c>
      <c r="M32">
        <f>U30</f>
        <v>114.84</v>
      </c>
      <c r="N32" t="s">
        <v>339</v>
      </c>
      <c r="O32">
        <f>G21</f>
        <v>21.44</v>
      </c>
      <c r="P32" s="60" t="s">
        <v>340</v>
      </c>
      <c r="Q32" s="55">
        <f>ROUND(M32*SIN(N21),2)</f>
        <v>41.98</v>
      </c>
      <c r="R32" t="s">
        <v>90</v>
      </c>
    </row>
    <row r="33" spans="1:24" ht="18" x14ac:dyDescent="0.25">
      <c r="A33" s="72" t="s">
        <v>341</v>
      </c>
      <c r="B33" t="str">
        <f>CONCATENATE(L33,M33,N33,O33,P33,Q33,R33,S33,T33,U33,V33,W33,X33,Y33,Z33,AA33,AB33,AC33,AD33,AE33)</f>
        <v>114.84 k ( cos 21.44⁰ ) = 106.89 k</v>
      </c>
      <c r="M33">
        <f>U30</f>
        <v>114.84</v>
      </c>
      <c r="N33" t="s">
        <v>342</v>
      </c>
      <c r="O33">
        <f>G21</f>
        <v>21.44</v>
      </c>
      <c r="P33" s="60" t="s">
        <v>340</v>
      </c>
      <c r="Q33" s="55">
        <f>ROUND(M33*COS(N21),2)</f>
        <v>106.89</v>
      </c>
      <c r="R33" t="s">
        <v>90</v>
      </c>
    </row>
    <row r="35" spans="1:24" x14ac:dyDescent="0.25">
      <c r="A35" s="73" t="s">
        <v>356</v>
      </c>
      <c r="E35" t="s">
        <v>343</v>
      </c>
    </row>
    <row r="37" spans="1:24" x14ac:dyDescent="0.25">
      <c r="A37" s="139" t="s">
        <v>417</v>
      </c>
      <c r="B37" s="139"/>
      <c r="C37" s="139"/>
      <c r="D37" s="139"/>
    </row>
    <row r="38" spans="1:24" ht="18" x14ac:dyDescent="0.35">
      <c r="A38" s="139" t="s">
        <v>415</v>
      </c>
      <c r="B38" s="139"/>
      <c r="C38" s="139" t="s">
        <v>416</v>
      </c>
      <c r="D38" s="139"/>
    </row>
    <row r="39" spans="1:24" x14ac:dyDescent="0.25">
      <c r="A39" s="138">
        <v>5</v>
      </c>
      <c r="B39" s="138"/>
      <c r="C39" s="138">
        <v>4</v>
      </c>
      <c r="D39" s="138"/>
    </row>
    <row r="40" spans="1:24" x14ac:dyDescent="0.25">
      <c r="A40" s="138">
        <v>10</v>
      </c>
      <c r="B40" s="138"/>
      <c r="C40" s="138">
        <v>3</v>
      </c>
      <c r="D40" s="138"/>
    </row>
    <row r="41" spans="1:24" x14ac:dyDescent="0.25">
      <c r="A41" s="101" t="s">
        <v>418</v>
      </c>
      <c r="B41" s="102">
        <v>20</v>
      </c>
      <c r="C41" s="138">
        <v>2</v>
      </c>
      <c r="D41" s="138"/>
    </row>
    <row r="43" spans="1:24" ht="18" x14ac:dyDescent="0.35">
      <c r="A43" t="s">
        <v>345</v>
      </c>
      <c r="B43" s="103">
        <f>ROUND((A40-G19)/(A40-A39)+C40,2)</f>
        <v>3.17</v>
      </c>
      <c r="C43" t="s">
        <v>18</v>
      </c>
      <c r="D43" t="s">
        <v>346</v>
      </c>
    </row>
    <row r="44" spans="1:24" ht="18" x14ac:dyDescent="0.35">
      <c r="A44" s="60" t="s">
        <v>419</v>
      </c>
      <c r="D44" t="str">
        <f>CONCATENATE(M44,N44,O44,P44,Q44,R44,S44,T44,U44,V44,W44,X44,Y44,Z44,AA44,AB44,AC44,AD44,AE44,AF44,AG44)</f>
        <v>120 lbs/ft^3 x 3.17 ft / 1000 x 48.5 ft = 18.45 k</v>
      </c>
      <c r="O44">
        <f>Sheet4!G18</f>
        <v>120</v>
      </c>
      <c r="P44" t="s">
        <v>332</v>
      </c>
      <c r="Q44">
        <f>B43</f>
        <v>3.17</v>
      </c>
      <c r="R44" t="s">
        <v>333</v>
      </c>
      <c r="S44">
        <v>1000</v>
      </c>
      <c r="T44" t="s">
        <v>157</v>
      </c>
      <c r="U44">
        <v>48.5</v>
      </c>
      <c r="V44" t="s">
        <v>180</v>
      </c>
      <c r="W44">
        <f>ROUND(O44*Q44/S44*U44, 2)</f>
        <v>18.45</v>
      </c>
      <c r="X44" t="s">
        <v>90</v>
      </c>
    </row>
    <row r="46" spans="1:24" ht="18" x14ac:dyDescent="0.35">
      <c r="A46" t="s">
        <v>414</v>
      </c>
      <c r="D46" t="str">
        <f>CONCATENATE(M46,N46,O46,P46,Q46,R46,S46,T46,U46,V46,W46,X46,Y46,Z46,AA46,AB46,AC46,AD46,AE46,AF46,AG46)</f>
        <v>0.47 x 18.45 k = 8.67 k</v>
      </c>
      <c r="M46">
        <f>Q24</f>
        <v>0.47</v>
      </c>
      <c r="N46" t="s">
        <v>157</v>
      </c>
      <c r="O46">
        <f>W44</f>
        <v>18.45</v>
      </c>
      <c r="P46" t="s">
        <v>409</v>
      </c>
      <c r="Q46">
        <f>ROUND(M46*O46, 2)</f>
        <v>8.67</v>
      </c>
      <c r="R46" t="s">
        <v>90</v>
      </c>
    </row>
  </sheetData>
  <mergeCells count="10">
    <mergeCell ref="A40:B40"/>
    <mergeCell ref="C39:D39"/>
    <mergeCell ref="C40:D40"/>
    <mergeCell ref="C41:D41"/>
    <mergeCell ref="A1:A4"/>
    <mergeCell ref="A7:K7"/>
    <mergeCell ref="A38:B38"/>
    <mergeCell ref="C38:D38"/>
    <mergeCell ref="A39:B39"/>
    <mergeCell ref="A37:D37"/>
  </mergeCells>
  <pageMargins left="0.25" right="0.25" top="0.75" bottom="0.75" header="0.3" footer="0.3"/>
  <pageSetup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00430-23C7-47ED-93DF-C151577F90BE}">
  <dimension ref="A1:AB39"/>
  <sheetViews>
    <sheetView topLeftCell="A10" workbookViewId="0">
      <selection activeCell="W29" sqref="W29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44754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5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8" spans="1:28" x14ac:dyDescent="0.25">
      <c r="A8" s="73" t="s">
        <v>348</v>
      </c>
    </row>
    <row r="9" spans="1:28" x14ac:dyDescent="0.25">
      <c r="A9" s="73"/>
    </row>
    <row r="10" spans="1:28" x14ac:dyDescent="0.25">
      <c r="A10" t="s">
        <v>250</v>
      </c>
      <c r="D10" s="29">
        <v>310</v>
      </c>
      <c r="E10" t="s">
        <v>347</v>
      </c>
      <c r="F10" t="s">
        <v>405</v>
      </c>
    </row>
    <row r="12" spans="1:28" x14ac:dyDescent="0.25">
      <c r="A12" s="60" t="s">
        <v>349</v>
      </c>
      <c r="C12" t="str">
        <f>CONCATENATE(L12,M12,N12,O12,P12,Q12,R12,W12,X12,S12,T12,U12,V12,Y12,Z12,AA12,AB12,AC12,AD12,AE12)</f>
        <v>310 k/pile x 5 Vertical Piles = 1550 k</v>
      </c>
      <c r="M12">
        <f>D10</f>
        <v>310</v>
      </c>
      <c r="N12" t="s">
        <v>350</v>
      </c>
      <c r="O12" s="29">
        <v>5</v>
      </c>
      <c r="P12" t="s">
        <v>351</v>
      </c>
      <c r="R12">
        <f>M12*O12</f>
        <v>1550</v>
      </c>
      <c r="S12" t="s">
        <v>90</v>
      </c>
    </row>
    <row r="14" spans="1:28" x14ac:dyDescent="0.25">
      <c r="A14" s="60" t="s">
        <v>352</v>
      </c>
      <c r="C14" t="str">
        <f>CONCATENATE(L14,M14,N14,O14,P14,Q14,R14,S14,T14,U14,V14,W14,X14,Y14,Z14,AA14,AB14,AC14,AD14,AE14)</f>
        <v>(3 / 3.16 ) x 310 k/pile x 4 Battered Piles = 1177.2 k</v>
      </c>
      <c r="M14" t="s">
        <v>108</v>
      </c>
      <c r="N14" s="29">
        <v>3</v>
      </c>
      <c r="O14" t="s">
        <v>51</v>
      </c>
      <c r="P14" s="29">
        <v>3.16</v>
      </c>
      <c r="Q14" t="s">
        <v>354</v>
      </c>
      <c r="R14">
        <f>D10</f>
        <v>310</v>
      </c>
      <c r="S14" t="s">
        <v>350</v>
      </c>
      <c r="T14">
        <v>4</v>
      </c>
      <c r="U14" t="s">
        <v>355</v>
      </c>
      <c r="W14">
        <f>ROUND(N14/P14*R14*T14, 1)</f>
        <v>1177.2</v>
      </c>
      <c r="X14" t="s">
        <v>90</v>
      </c>
    </row>
    <row r="15" spans="1:28" x14ac:dyDescent="0.25">
      <c r="A15" s="60" t="s">
        <v>353</v>
      </c>
      <c r="C15" t="str">
        <f>CONCATENATE(L15,M15,N15,O15,P15,Q15,R15,S15,T15,U15,V15,W15,X15,Y15,Z15,AA15,AB15,AC15,AD15,AE15)</f>
        <v>(1 / 3.16 ) x 310 k/pile x 4 Battered Piles = 392.4 k</v>
      </c>
      <c r="M15" t="s">
        <v>108</v>
      </c>
      <c r="N15" s="29">
        <v>1</v>
      </c>
      <c r="O15" t="s">
        <v>51</v>
      </c>
      <c r="P15" s="29">
        <v>3.16</v>
      </c>
      <c r="Q15" t="s">
        <v>354</v>
      </c>
      <c r="R15">
        <f>D10</f>
        <v>310</v>
      </c>
      <c r="S15" t="s">
        <v>350</v>
      </c>
      <c r="T15">
        <v>4</v>
      </c>
      <c r="U15" t="s">
        <v>355</v>
      </c>
      <c r="W15">
        <f>ROUND(N15/P15*R15*T15, 1)</f>
        <v>392.4</v>
      </c>
      <c r="X15" t="s">
        <v>90</v>
      </c>
    </row>
    <row r="17" spans="1:25" x14ac:dyDescent="0.25">
      <c r="A17" t="s">
        <v>406</v>
      </c>
    </row>
    <row r="18" spans="1:25" x14ac:dyDescent="0.25">
      <c r="B18" s="64" t="s">
        <v>407</v>
      </c>
      <c r="C18" t="str">
        <f>CONCATENATE(L18,M18,N18,O18,P18,Q18,R18,S18,T18,U18,V18,W18,X18,Y18,Z18,AA18,AB18,AC18,AD18,AE18)</f>
        <v>1550 k + 1177.2 k = 2727.2 k</v>
      </c>
      <c r="M18">
        <f>R12</f>
        <v>1550</v>
      </c>
      <c r="N18" t="s">
        <v>276</v>
      </c>
      <c r="O18">
        <f>W14</f>
        <v>1177.2</v>
      </c>
      <c r="P18" t="s">
        <v>409</v>
      </c>
      <c r="Q18">
        <f>M18+O18</f>
        <v>2727.2</v>
      </c>
      <c r="R18" t="s">
        <v>90</v>
      </c>
    </row>
    <row r="19" spans="1:25" x14ac:dyDescent="0.25">
      <c r="B19" s="64" t="s">
        <v>408</v>
      </c>
      <c r="C19" t="str">
        <f>CONCATENATE(L19,M19,N19,O19,P19,Q19,R19,S19,T19,U19,V19,W19,X19,Y19,Z19,AA19,AB19,AC19,AD19,AE19)</f>
        <v>392.4 k</v>
      </c>
      <c r="M19">
        <f>W15</f>
        <v>392.4</v>
      </c>
      <c r="N19" t="s">
        <v>90</v>
      </c>
    </row>
    <row r="21" spans="1:25" x14ac:dyDescent="0.25">
      <c r="A21" s="28" t="s">
        <v>360</v>
      </c>
    </row>
    <row r="22" spans="1:25" x14ac:dyDescent="0.25">
      <c r="A22" t="s">
        <v>357</v>
      </c>
      <c r="B22" s="29">
        <v>1.25</v>
      </c>
      <c r="D22" t="s">
        <v>359</v>
      </c>
      <c r="E22" s="29">
        <v>1.75</v>
      </c>
    </row>
    <row r="23" spans="1:25" x14ac:dyDescent="0.25">
      <c r="A23" t="s">
        <v>358</v>
      </c>
      <c r="B23" s="74">
        <v>1.5</v>
      </c>
    </row>
    <row r="25" spans="1:25" x14ac:dyDescent="0.25">
      <c r="A25" s="136" t="s">
        <v>284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</row>
    <row r="27" spans="1:25" x14ac:dyDescent="0.25">
      <c r="A27" s="28" t="s">
        <v>361</v>
      </c>
    </row>
    <row r="28" spans="1:25" ht="18" x14ac:dyDescent="0.25">
      <c r="A28" s="72" t="s">
        <v>363</v>
      </c>
      <c r="M28" s="56"/>
    </row>
    <row r="29" spans="1:25" x14ac:dyDescent="0.25">
      <c r="A29" t="str">
        <f>CONCATENATE(K29,L29,M29,N29,O29,P29,Q29,R29,S29,T29,U29,V29,W29,X29,Y29,Z29,AA29,AB29,AC29,AD29)</f>
        <v xml:space="preserve">1.5 ( 106.89 k) + 1.75(18.45 k) = 192.62 k &lt; 392.4 kips </v>
      </c>
      <c r="G29" s="62" t="str">
        <f>IF(U29&lt;X29, "GOOD", "FAILED")</f>
        <v>GOOD</v>
      </c>
      <c r="M29" s="56">
        <f>Sheet5!B23</f>
        <v>1.5</v>
      </c>
      <c r="N29" t="s">
        <v>146</v>
      </c>
      <c r="O29">
        <f>Sheet4!Q33</f>
        <v>106.89</v>
      </c>
      <c r="P29" t="s">
        <v>272</v>
      </c>
      <c r="Q29">
        <f>Sheet5!E22</f>
        <v>1.75</v>
      </c>
      <c r="R29" t="s">
        <v>108</v>
      </c>
      <c r="S29">
        <f>Sheet4!W44</f>
        <v>18.45</v>
      </c>
      <c r="T29" t="s">
        <v>273</v>
      </c>
      <c r="U29">
        <f>ROUND((M29*O29)+(Q29*S29), 2)</f>
        <v>192.62</v>
      </c>
      <c r="V29" t="s">
        <v>274</v>
      </c>
      <c r="W29" t="str">
        <f>IF(U29&lt;X29, "&lt; ", "&gt; ")</f>
        <v xml:space="preserve">&lt; </v>
      </c>
      <c r="X29">
        <f>Sheet5!W15</f>
        <v>392.4</v>
      </c>
      <c r="Y29" t="s">
        <v>275</v>
      </c>
    </row>
    <row r="32" spans="1:25" x14ac:dyDescent="0.25">
      <c r="A32" s="136" t="s">
        <v>413</v>
      </c>
      <c r="B32" s="136"/>
      <c r="C32" s="136"/>
      <c r="D32" s="136"/>
      <c r="E32" s="136"/>
      <c r="F32" s="136"/>
      <c r="G32" s="136"/>
      <c r="H32" s="136"/>
      <c r="I32" s="136"/>
      <c r="J32" s="136"/>
      <c r="K32" s="136"/>
    </row>
    <row r="34" spans="1:24" x14ac:dyDescent="0.25">
      <c r="A34" s="72" t="s">
        <v>362</v>
      </c>
    </row>
    <row r="35" spans="1:24" x14ac:dyDescent="0.25">
      <c r="A35" t="s">
        <v>364</v>
      </c>
      <c r="G35" s="64" t="str">
        <f>CONCATENATE(K35,L35,M35,N35,O35,P35,Q35,R35,S35,T35,U35,V35,W35,X35,Y35,Z35,AA35,AB35,AC35,AD35)</f>
        <v xml:space="preserve">1.25 ( 70.9 k + 114.8 k + 192.48 k + 34.66 k ) = 516.05 k </v>
      </c>
      <c r="M35">
        <f>Sheet5!B22</f>
        <v>1.25</v>
      </c>
      <c r="N35" t="s">
        <v>146</v>
      </c>
      <c r="O35">
        <f>Sheet2!B17</f>
        <v>70.900000000000006</v>
      </c>
      <c r="P35" t="s">
        <v>276</v>
      </c>
      <c r="Q35">
        <f>Sheet2!P39</f>
        <v>114.8</v>
      </c>
      <c r="R35" t="s">
        <v>276</v>
      </c>
      <c r="S35">
        <f>Sheet3!S13</f>
        <v>192.48</v>
      </c>
      <c r="T35" t="s">
        <v>276</v>
      </c>
      <c r="U35">
        <f>Sheet3!X28</f>
        <v>34.659999999999997</v>
      </c>
      <c r="V35" t="s">
        <v>277</v>
      </c>
      <c r="W35">
        <f>ROUND(M35*(O35+Q35+S35+U35), 2)</f>
        <v>516.04999999999995</v>
      </c>
      <c r="X35" t="s">
        <v>274</v>
      </c>
    </row>
    <row r="36" spans="1:24" x14ac:dyDescent="0.25">
      <c r="A36" t="s">
        <v>365</v>
      </c>
      <c r="G36" s="64" t="str">
        <f>CONCATENATE(K36,L36,M36,N36,O36,P36,Q36,R36,S36,T36,U36,V36,W36,X36,Y36,Z36,AA36,AB36,AC36,AD36)</f>
        <v xml:space="preserve"> + 1.5 ( 37.99 k + 12.8 k ) = 76.19 k </v>
      </c>
      <c r="M36" s="63" t="s">
        <v>33</v>
      </c>
      <c r="N36" s="56">
        <f>Sheet5!B23</f>
        <v>1.5</v>
      </c>
      <c r="O36" t="s">
        <v>146</v>
      </c>
      <c r="P36">
        <f>Sheet3!U15</f>
        <v>37.99</v>
      </c>
      <c r="Q36" t="s">
        <v>276</v>
      </c>
      <c r="R36">
        <f>Sheet3!AB30</f>
        <v>12.8</v>
      </c>
      <c r="S36" t="s">
        <v>277</v>
      </c>
      <c r="T36">
        <f>ROUND(N36*(P36+R36), 2)</f>
        <v>76.19</v>
      </c>
      <c r="U36" t="s">
        <v>274</v>
      </c>
    </row>
    <row r="37" spans="1:24" x14ac:dyDescent="0.25">
      <c r="A37" t="s">
        <v>366</v>
      </c>
      <c r="G37" s="64" t="str">
        <f>CONCATENATE(K37,L37,M37,N37,O37,P37,Q37,R37,S37,T37,U37,V37,W37,X37,Y37,Z37,AA37,AB37,AC37,AD37)</f>
        <v xml:space="preserve"> + 1.5 ( 41.98 k ) = 62.97 k </v>
      </c>
      <c r="M37" s="63" t="s">
        <v>33</v>
      </c>
      <c r="N37" s="56">
        <f>Sheet5!B23</f>
        <v>1.5</v>
      </c>
      <c r="O37" t="s">
        <v>146</v>
      </c>
      <c r="P37">
        <f>Sheet4!Q32</f>
        <v>41.98</v>
      </c>
      <c r="Q37" t="s">
        <v>277</v>
      </c>
      <c r="R37">
        <f>ROUND(N37*P37, 2)</f>
        <v>62.97</v>
      </c>
      <c r="S37" t="s">
        <v>274</v>
      </c>
    </row>
    <row r="38" spans="1:24" x14ac:dyDescent="0.25">
      <c r="A38" t="s">
        <v>367</v>
      </c>
      <c r="E38" s="65"/>
      <c r="F38" s="65"/>
      <c r="G38" s="66" t="str">
        <f>CONCATENATE(K38,L38,M38,N38,O38,P38,Q38,R38,S38,T38,U38,V38,W38,X38,Y38,Z38,AA38,AB38,AC38,AD38)</f>
        <v xml:space="preserve"> + 1.75 ( 211.68 k + 36.27 k ) = 433.91 k </v>
      </c>
      <c r="M38" s="63" t="s">
        <v>33</v>
      </c>
      <c r="N38">
        <f>Sheet5!E22</f>
        <v>1.75</v>
      </c>
      <c r="O38" t="s">
        <v>146</v>
      </c>
      <c r="P38">
        <f>Sheet3!S14</f>
        <v>211.68</v>
      </c>
      <c r="Q38" t="s">
        <v>276</v>
      </c>
      <c r="R38">
        <f>Sheet3!U29</f>
        <v>36.270000000000003</v>
      </c>
      <c r="S38" t="s">
        <v>277</v>
      </c>
      <c r="T38">
        <f>ROUND(N38*(P38+R38), 2)</f>
        <v>433.91</v>
      </c>
      <c r="U38" t="s">
        <v>274</v>
      </c>
    </row>
    <row r="39" spans="1:24" x14ac:dyDescent="0.25">
      <c r="G39" t="str">
        <f>CONCATENATE(Q39,R39,S39,T39,U39,V39,W39,X39,Y39,Z39,AA39,AB39,AC39,AD39,AE39,AF39,AG39,AH39,AI39,AJ39)</f>
        <v>1089.12 k &lt; 1177.2 k</v>
      </c>
      <c r="J39" s="62" t="str">
        <f>IF(T39&lt;W39, "GOOD", "FAILED")</f>
        <v>GOOD</v>
      </c>
      <c r="M39" s="63"/>
      <c r="T39">
        <f>W35+T36+R37+T38</f>
        <v>1089.1200000000001</v>
      </c>
      <c r="U39" t="s">
        <v>274</v>
      </c>
      <c r="V39" s="67" t="str">
        <f>IF(T39&lt;W39, "&lt; ", "&gt; ")</f>
        <v xml:space="preserve">&lt; </v>
      </c>
      <c r="W39">
        <f>Sheet5!W14</f>
        <v>1177.2</v>
      </c>
      <c r="X39" t="s">
        <v>90</v>
      </c>
    </row>
  </sheetData>
  <mergeCells count="3">
    <mergeCell ref="A1:A4"/>
    <mergeCell ref="A25:K25"/>
    <mergeCell ref="A32:K32"/>
  </mergeCells>
  <conditionalFormatting sqref="G29">
    <cfRule type="cellIs" dxfId="13" priority="3" operator="equal">
      <formula>"FAILED"</formula>
    </cfRule>
    <cfRule type="cellIs" dxfId="12" priority="4" operator="equal">
      <formula>"GOOD"</formula>
    </cfRule>
  </conditionalFormatting>
  <conditionalFormatting sqref="J39">
    <cfRule type="cellIs" dxfId="11" priority="1" operator="equal">
      <formula>"FAILED"</formula>
    </cfRule>
    <cfRule type="cellIs" dxfId="10" priority="2" operator="equal">
      <formula>"GOOD"</formula>
    </cfRule>
  </conditionalFormatting>
  <pageMargins left="0.25" right="0.25" top="0.75" bottom="0.75" header="0.3" footer="0.3"/>
  <pageSetup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D7418-BDB1-433F-AF3C-480D163CEAA2}">
  <sheetPr>
    <pageSetUpPr fitToPage="1"/>
  </sheetPr>
  <dimension ref="A1:AB41"/>
  <sheetViews>
    <sheetView topLeftCell="A14" workbookViewId="0">
      <selection activeCell="J22" sqref="J22"/>
    </sheetView>
  </sheetViews>
  <sheetFormatPr defaultRowHeight="15" x14ac:dyDescent="0.25"/>
  <cols>
    <col min="11" max="11" width="9.7109375" bestFit="1" customWidth="1"/>
  </cols>
  <sheetData>
    <row r="1" spans="1:28" x14ac:dyDescent="0.25">
      <c r="A1" s="135"/>
      <c r="B1" s="38" t="s">
        <v>287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44420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">
        <v>288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 t="s">
        <v>396</v>
      </c>
      <c r="I3" s="43"/>
      <c r="J3" s="41" t="s">
        <v>163</v>
      </c>
      <c r="K3" s="44">
        <v>44767</v>
      </c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395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6</v>
      </c>
      <c r="J5" s="52" t="s">
        <v>170</v>
      </c>
      <c r="K5" s="100">
        <v>6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28" t="s">
        <v>360</v>
      </c>
    </row>
    <row r="8" spans="1:28" x14ac:dyDescent="0.25">
      <c r="A8" t="s">
        <v>357</v>
      </c>
      <c r="B8" s="29">
        <v>1.25</v>
      </c>
      <c r="D8" t="s">
        <v>359</v>
      </c>
      <c r="E8" s="29">
        <v>1.75</v>
      </c>
    </row>
    <row r="9" spans="1:28" x14ac:dyDescent="0.25">
      <c r="A9" t="s">
        <v>358</v>
      </c>
      <c r="B9" s="74">
        <v>1.5</v>
      </c>
    </row>
    <row r="11" spans="1:28" x14ac:dyDescent="0.25">
      <c r="A11" s="136" t="s">
        <v>382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</row>
    <row r="12" spans="1:28" ht="15.75" thickBot="1" x14ac:dyDescent="0.3"/>
    <row r="13" spans="1:28" ht="90" thickBot="1" x14ac:dyDescent="0.3">
      <c r="A13" s="75" t="s">
        <v>368</v>
      </c>
      <c r="B13" s="76" t="s">
        <v>369</v>
      </c>
      <c r="C13" s="77" t="s">
        <v>370</v>
      </c>
      <c r="D13" s="77" t="s">
        <v>372</v>
      </c>
      <c r="E13" s="78" t="s">
        <v>373</v>
      </c>
      <c r="L13" s="45"/>
      <c r="Q13" t="s">
        <v>384</v>
      </c>
      <c r="R13" t="s">
        <v>369</v>
      </c>
      <c r="S13" t="s">
        <v>370</v>
      </c>
      <c r="T13" t="s">
        <v>371</v>
      </c>
      <c r="V13" t="s">
        <v>372</v>
      </c>
      <c r="W13" t="s">
        <v>373</v>
      </c>
    </row>
    <row r="14" spans="1:28" x14ac:dyDescent="0.25">
      <c r="A14" s="79" t="s">
        <v>374</v>
      </c>
      <c r="B14" s="90">
        <f>B8</f>
        <v>1.25</v>
      </c>
      <c r="C14" s="88">
        <f>Sheet2!P39</f>
        <v>114.8</v>
      </c>
      <c r="D14" s="85">
        <v>1.5</v>
      </c>
      <c r="E14" s="86">
        <f t="shared" ref="E14:E21" si="0">ROUND(B14*C14*D14,2)</f>
        <v>215.25</v>
      </c>
      <c r="L14" s="45"/>
      <c r="Q14" t="s">
        <v>374</v>
      </c>
      <c r="R14">
        <v>1.25</v>
      </c>
      <c r="S14">
        <v>2.21</v>
      </c>
      <c r="V14">
        <v>0</v>
      </c>
      <c r="W14">
        <v>0</v>
      </c>
    </row>
    <row r="15" spans="1:28" x14ac:dyDescent="0.25">
      <c r="A15" s="80" t="s">
        <v>385</v>
      </c>
      <c r="B15" s="91">
        <f>B8</f>
        <v>1.25</v>
      </c>
      <c r="C15" s="88">
        <f>Sheet2!B17</f>
        <v>70.900000000000006</v>
      </c>
      <c r="D15" s="84">
        <v>1.75</v>
      </c>
      <c r="E15" s="87">
        <f t="shared" si="0"/>
        <v>155.09</v>
      </c>
      <c r="L15" s="45"/>
      <c r="Q15" t="s">
        <v>375</v>
      </c>
      <c r="R15">
        <v>1.25</v>
      </c>
      <c r="S15">
        <v>7.05</v>
      </c>
      <c r="V15">
        <v>0.75</v>
      </c>
      <c r="W15">
        <v>6.61</v>
      </c>
    </row>
    <row r="16" spans="1:28" x14ac:dyDescent="0.25">
      <c r="A16" s="80" t="s">
        <v>386</v>
      </c>
      <c r="B16" s="91">
        <f>B8</f>
        <v>1.25</v>
      </c>
      <c r="C16" s="88">
        <f>Sheet3!S13</f>
        <v>192.48</v>
      </c>
      <c r="D16" s="84">
        <v>1.75</v>
      </c>
      <c r="E16" s="87">
        <f t="shared" si="0"/>
        <v>421.05</v>
      </c>
      <c r="L16" s="45"/>
      <c r="Q16" t="s">
        <v>102</v>
      </c>
      <c r="R16">
        <v>1.5</v>
      </c>
      <c r="S16">
        <v>1.83</v>
      </c>
      <c r="V16">
        <v>0</v>
      </c>
      <c r="W16">
        <v>0</v>
      </c>
    </row>
    <row r="17" spans="1:23" x14ac:dyDescent="0.25">
      <c r="A17" s="80" t="s">
        <v>389</v>
      </c>
      <c r="B17" s="91">
        <f>E8</f>
        <v>1.75</v>
      </c>
      <c r="C17" s="88">
        <f>Sheet3!S14</f>
        <v>211.68</v>
      </c>
      <c r="D17" s="84">
        <v>1.75</v>
      </c>
      <c r="E17" s="87">
        <f t="shared" si="0"/>
        <v>648.27</v>
      </c>
      <c r="L17" s="45"/>
      <c r="Q17" t="s">
        <v>376</v>
      </c>
    </row>
    <row r="18" spans="1:23" x14ac:dyDescent="0.25">
      <c r="A18" s="80" t="s">
        <v>390</v>
      </c>
      <c r="B18" s="91">
        <f>B9</f>
        <v>1.5</v>
      </c>
      <c r="C18" s="88">
        <f>Sheet3!U15</f>
        <v>37.99</v>
      </c>
      <c r="D18" s="84">
        <v>1.75</v>
      </c>
      <c r="E18" s="87">
        <f t="shared" si="0"/>
        <v>99.72</v>
      </c>
      <c r="L18" s="45"/>
    </row>
    <row r="19" spans="1:23" x14ac:dyDescent="0.25">
      <c r="A19" s="80" t="s">
        <v>387</v>
      </c>
      <c r="B19" s="91">
        <f>B9</f>
        <v>1.5</v>
      </c>
      <c r="C19" s="88">
        <f>Sheet4!Q32</f>
        <v>41.98</v>
      </c>
      <c r="D19" s="84">
        <v>0.25</v>
      </c>
      <c r="E19" s="87">
        <f t="shared" si="0"/>
        <v>15.74</v>
      </c>
      <c r="L19" s="45"/>
      <c r="Q19" t="s">
        <v>377</v>
      </c>
      <c r="R19">
        <v>1.35</v>
      </c>
      <c r="S19">
        <v>0.45</v>
      </c>
      <c r="T19">
        <v>0.61</v>
      </c>
      <c r="V19">
        <v>1.67</v>
      </c>
      <c r="W19">
        <v>1.01</v>
      </c>
    </row>
    <row r="20" spans="1:23" x14ac:dyDescent="0.25">
      <c r="A20" s="80" t="s">
        <v>388</v>
      </c>
      <c r="B20" s="91">
        <f>B9</f>
        <v>1.5</v>
      </c>
      <c r="C20" s="88">
        <f>Sheet4!Q33</f>
        <v>106.89</v>
      </c>
      <c r="D20" s="84">
        <v>2.91</v>
      </c>
      <c r="E20" s="87">
        <f t="shared" si="0"/>
        <v>466.57</v>
      </c>
      <c r="L20" s="45"/>
      <c r="Q20" t="s">
        <v>378</v>
      </c>
      <c r="R20">
        <v>1.2</v>
      </c>
      <c r="S20">
        <v>5.0000000000000001E-3</v>
      </c>
      <c r="T20">
        <v>0.01</v>
      </c>
      <c r="V20">
        <v>5.0149999999999997</v>
      </c>
      <c r="W20">
        <v>0.03</v>
      </c>
    </row>
    <row r="21" spans="1:23" ht="15.75" thickBot="1" x14ac:dyDescent="0.3">
      <c r="A21" s="81" t="s">
        <v>380</v>
      </c>
      <c r="B21" s="92">
        <f>E8</f>
        <v>1.75</v>
      </c>
      <c r="C21" s="89">
        <f>Sheet4!Q46</f>
        <v>8.67</v>
      </c>
      <c r="D21" s="93">
        <f>Sheet4!G19/2</f>
        <v>4.58</v>
      </c>
      <c r="E21" s="94">
        <f t="shared" si="0"/>
        <v>69.489999999999995</v>
      </c>
      <c r="L21" s="45"/>
      <c r="Q21" t="s">
        <v>379</v>
      </c>
      <c r="R21">
        <v>1.75</v>
      </c>
      <c r="S21">
        <v>14.59</v>
      </c>
      <c r="V21">
        <v>0.75</v>
      </c>
      <c r="W21">
        <v>19.149999999999999</v>
      </c>
    </row>
    <row r="22" spans="1:23" x14ac:dyDescent="0.25">
      <c r="A22" s="82"/>
      <c r="B22" s="28"/>
      <c r="C22" s="82"/>
      <c r="D22" s="82" t="s">
        <v>381</v>
      </c>
      <c r="E22" s="83">
        <f>SUM(E14:E21)</f>
        <v>2091.1799999999998</v>
      </c>
      <c r="F22" s="28" t="s">
        <v>420</v>
      </c>
      <c r="G22" s="28" t="str">
        <f>IF(E22&lt;H22, "&lt; ", "&gt; ")</f>
        <v xml:space="preserve">&lt; </v>
      </c>
      <c r="H22" s="28">
        <f>U41</f>
        <v>5454.4</v>
      </c>
      <c r="I22" s="28" t="s">
        <v>420</v>
      </c>
      <c r="J22" s="62" t="str">
        <f>IF(E22&lt;H22, "GOOD", "FAILED")</f>
        <v>GOOD</v>
      </c>
      <c r="L22" s="45"/>
    </row>
    <row r="24" spans="1:23" x14ac:dyDescent="0.25">
      <c r="A24" s="136" t="s">
        <v>391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</row>
    <row r="25" spans="1:23" ht="15.75" thickBot="1" x14ac:dyDescent="0.3"/>
    <row r="26" spans="1:23" ht="90" thickBot="1" x14ac:dyDescent="0.3">
      <c r="A26" s="75" t="s">
        <v>368</v>
      </c>
      <c r="B26" s="76" t="s">
        <v>369</v>
      </c>
      <c r="C26" s="77" t="s">
        <v>370</v>
      </c>
      <c r="D26" s="77" t="s">
        <v>372</v>
      </c>
      <c r="E26" s="78" t="s">
        <v>373</v>
      </c>
      <c r="L26" s="45"/>
      <c r="Q26" t="s">
        <v>384</v>
      </c>
      <c r="R26" t="s">
        <v>369</v>
      </c>
      <c r="S26" t="s">
        <v>370</v>
      </c>
      <c r="T26" t="s">
        <v>371</v>
      </c>
      <c r="V26" t="s">
        <v>372</v>
      </c>
      <c r="W26" t="s">
        <v>373</v>
      </c>
    </row>
    <row r="27" spans="1:23" x14ac:dyDescent="0.25">
      <c r="A27" s="79" t="s">
        <v>374</v>
      </c>
      <c r="B27" s="90">
        <f>B8</f>
        <v>1.25</v>
      </c>
      <c r="C27" s="88">
        <f>Sheet2!P39</f>
        <v>114.8</v>
      </c>
      <c r="D27" s="85">
        <v>1.5</v>
      </c>
      <c r="E27" s="86">
        <f t="shared" ref="E27:E33" si="1">ROUND(B27*C27*D27,2)</f>
        <v>215.25</v>
      </c>
      <c r="L27" s="45"/>
      <c r="Q27" t="s">
        <v>374</v>
      </c>
      <c r="R27">
        <v>1.25</v>
      </c>
      <c r="S27">
        <v>2.21</v>
      </c>
      <c r="V27">
        <v>0</v>
      </c>
      <c r="W27">
        <v>0</v>
      </c>
    </row>
    <row r="28" spans="1:23" x14ac:dyDescent="0.25">
      <c r="A28" s="80" t="s">
        <v>385</v>
      </c>
      <c r="B28" s="91">
        <f>B8</f>
        <v>1.25</v>
      </c>
      <c r="C28" s="88">
        <f>Sheet2!B17</f>
        <v>70.900000000000006</v>
      </c>
      <c r="D28" s="84">
        <v>1.75</v>
      </c>
      <c r="E28" s="87">
        <f t="shared" si="1"/>
        <v>155.09</v>
      </c>
      <c r="L28" s="45"/>
      <c r="Q28" t="s">
        <v>375</v>
      </c>
      <c r="R28">
        <v>1.25</v>
      </c>
      <c r="S28">
        <v>7.05</v>
      </c>
      <c r="V28">
        <v>0.75</v>
      </c>
      <c r="W28">
        <v>6.61</v>
      </c>
    </row>
    <row r="29" spans="1:23" x14ac:dyDescent="0.25">
      <c r="A29" s="80" t="s">
        <v>386</v>
      </c>
      <c r="B29" s="91">
        <f>B8</f>
        <v>1.25</v>
      </c>
      <c r="C29" s="88">
        <f>Sheet3!S13</f>
        <v>192.48</v>
      </c>
      <c r="D29" s="84">
        <v>1.75</v>
      </c>
      <c r="E29" s="87">
        <f t="shared" si="1"/>
        <v>421.05</v>
      </c>
      <c r="L29" s="45"/>
      <c r="Q29" t="s">
        <v>102</v>
      </c>
      <c r="R29">
        <v>1.5</v>
      </c>
      <c r="S29">
        <v>1.83</v>
      </c>
      <c r="V29">
        <v>0</v>
      </c>
      <c r="W29">
        <v>0</v>
      </c>
    </row>
    <row r="30" spans="1:23" x14ac:dyDescent="0.25">
      <c r="A30" s="80" t="s">
        <v>389</v>
      </c>
      <c r="B30" s="91">
        <f>E8</f>
        <v>1.75</v>
      </c>
      <c r="C30" s="88">
        <f>Sheet3!S14</f>
        <v>211.68</v>
      </c>
      <c r="D30" s="84">
        <v>1.75</v>
      </c>
      <c r="E30" s="87">
        <f t="shared" si="1"/>
        <v>648.27</v>
      </c>
      <c r="L30" s="45"/>
      <c r="Q30" t="s">
        <v>376</v>
      </c>
    </row>
    <row r="31" spans="1:23" x14ac:dyDescent="0.25">
      <c r="A31" s="80" t="s">
        <v>390</v>
      </c>
      <c r="B31" s="91">
        <f>B9</f>
        <v>1.5</v>
      </c>
      <c r="C31" s="88">
        <f>Sheet3!U15</f>
        <v>37.99</v>
      </c>
      <c r="D31" s="84">
        <v>1.75</v>
      </c>
      <c r="E31" s="87">
        <f t="shared" si="1"/>
        <v>99.72</v>
      </c>
      <c r="L31" s="45"/>
    </row>
    <row r="32" spans="1:23" x14ac:dyDescent="0.25">
      <c r="A32" s="80" t="s">
        <v>387</v>
      </c>
      <c r="B32" s="91">
        <f>B9</f>
        <v>1.5</v>
      </c>
      <c r="C32" s="88">
        <f>Sheet4!Q32</f>
        <v>41.98</v>
      </c>
      <c r="D32" s="84">
        <v>0.25</v>
      </c>
      <c r="E32" s="87">
        <f t="shared" si="1"/>
        <v>15.74</v>
      </c>
      <c r="L32" s="45"/>
      <c r="Q32" t="s">
        <v>377</v>
      </c>
      <c r="R32">
        <v>1.35</v>
      </c>
      <c r="S32">
        <v>0.45</v>
      </c>
      <c r="T32">
        <v>0.61</v>
      </c>
      <c r="V32">
        <v>1.67</v>
      </c>
      <c r="W32">
        <v>1.01</v>
      </c>
    </row>
    <row r="33" spans="1:23" x14ac:dyDescent="0.25">
      <c r="A33" s="80" t="s">
        <v>388</v>
      </c>
      <c r="B33" s="91">
        <f>B9</f>
        <v>1.5</v>
      </c>
      <c r="C33" s="88">
        <f>Sheet4!Q33</f>
        <v>106.89</v>
      </c>
      <c r="D33" s="84">
        <v>2.91</v>
      </c>
      <c r="E33" s="87">
        <f t="shared" si="1"/>
        <v>466.57</v>
      </c>
      <c r="L33" s="45"/>
      <c r="Q33" t="s">
        <v>378</v>
      </c>
      <c r="R33">
        <v>1.2</v>
      </c>
      <c r="S33">
        <v>5.0000000000000001E-3</v>
      </c>
      <c r="T33">
        <v>0.01</v>
      </c>
      <c r="V33">
        <v>5.0149999999999997</v>
      </c>
      <c r="W33">
        <v>0.03</v>
      </c>
    </row>
    <row r="34" spans="1:23" x14ac:dyDescent="0.25">
      <c r="A34" s="95" t="s">
        <v>392</v>
      </c>
      <c r="B34" s="96">
        <f>B8</f>
        <v>1.25</v>
      </c>
      <c r="C34" s="97">
        <f>Sheet3!X28</f>
        <v>34.659999999999997</v>
      </c>
      <c r="D34" s="98">
        <f>ROUND(8.5/12,2)</f>
        <v>0.71</v>
      </c>
      <c r="E34" s="87">
        <f t="shared" ref="E34:E35" si="2">ROUND(B34*C34*D34,2)</f>
        <v>30.76</v>
      </c>
      <c r="L34" s="45"/>
    </row>
    <row r="35" spans="1:23" x14ac:dyDescent="0.25">
      <c r="A35" s="95" t="s">
        <v>394</v>
      </c>
      <c r="B35" s="96">
        <f>E8</f>
        <v>1.75</v>
      </c>
      <c r="C35" s="97">
        <f>Sheet3!U29</f>
        <v>36.270000000000003</v>
      </c>
      <c r="D35" s="98">
        <f>ROUND(8.5/12,2)</f>
        <v>0.71</v>
      </c>
      <c r="E35" s="87">
        <f t="shared" si="2"/>
        <v>45.07</v>
      </c>
      <c r="L35" s="45"/>
    </row>
    <row r="36" spans="1:23" ht="15.75" thickBot="1" x14ac:dyDescent="0.3">
      <c r="A36" s="81" t="s">
        <v>393</v>
      </c>
      <c r="B36" s="92">
        <f>B9</f>
        <v>1.5</v>
      </c>
      <c r="C36" s="89">
        <f>Sheet3!AB30</f>
        <v>12.8</v>
      </c>
      <c r="D36" s="93">
        <f>ROUND(8.5/12,2)</f>
        <v>0.71</v>
      </c>
      <c r="E36" s="94">
        <f>ROUND(B36*C36*D36,2)</f>
        <v>13.63</v>
      </c>
      <c r="L36" s="45"/>
      <c r="Q36" t="s">
        <v>379</v>
      </c>
      <c r="R36">
        <v>1.75</v>
      </c>
      <c r="S36">
        <v>14.59</v>
      </c>
      <c r="V36">
        <v>0.75</v>
      </c>
      <c r="W36">
        <v>19.149999999999999</v>
      </c>
    </row>
    <row r="37" spans="1:23" x14ac:dyDescent="0.25">
      <c r="A37" s="82"/>
      <c r="B37" s="28"/>
      <c r="C37" s="82"/>
      <c r="D37" s="82" t="s">
        <v>381</v>
      </c>
      <c r="E37" s="83">
        <f>SUM(E27:E36)</f>
        <v>2111.1500000000005</v>
      </c>
      <c r="F37" s="28" t="s">
        <v>420</v>
      </c>
      <c r="G37" s="28" t="str">
        <f>IF(E37&lt;H37, "&lt; ", "&gt; ")</f>
        <v xml:space="preserve">&lt; </v>
      </c>
      <c r="H37" s="28">
        <f>U41</f>
        <v>5454.4</v>
      </c>
      <c r="I37" s="28" t="s">
        <v>420</v>
      </c>
      <c r="J37" s="62" t="str">
        <f>IF(E37&lt;H37, "GOOD", "FAILED")</f>
        <v>GOOD</v>
      </c>
      <c r="L37" s="45"/>
    </row>
    <row r="39" spans="1:23" ht="18" x14ac:dyDescent="0.35">
      <c r="A39" s="33" t="s">
        <v>421</v>
      </c>
      <c r="B39" s="82"/>
    </row>
    <row r="41" spans="1:23" x14ac:dyDescent="0.25">
      <c r="A41" s="33" t="s">
        <v>422</v>
      </c>
      <c r="D41" t="str">
        <f>CONCATENATE(L41,M41,N41,O41,P41,Q41,R41,S41,T41,U41,V41,W41,X41,Y41,Z41,AA41,AB41,AC41,AD41,AE41,AF41,AG41)</f>
        <v>( 1550k x 2 ft ) + ( 1177.2k x  2 ft ) = 5454.4 k-ft</v>
      </c>
      <c r="L41" t="s">
        <v>95</v>
      </c>
      <c r="M41">
        <f>Sheet5!R12</f>
        <v>1550</v>
      </c>
      <c r="N41" t="s">
        <v>253</v>
      </c>
      <c r="O41">
        <v>2</v>
      </c>
      <c r="P41" t="s">
        <v>425</v>
      </c>
      <c r="Q41">
        <f>Sheet5!W14</f>
        <v>1177.2</v>
      </c>
      <c r="R41" t="s">
        <v>424</v>
      </c>
      <c r="S41">
        <v>2</v>
      </c>
      <c r="T41" t="s">
        <v>314</v>
      </c>
      <c r="U41">
        <f>ROUND((M41*O41)+(Q41*S41),1)</f>
        <v>5454.4</v>
      </c>
      <c r="V41" t="s">
        <v>423</v>
      </c>
    </row>
  </sheetData>
  <mergeCells count="3">
    <mergeCell ref="A1:A4"/>
    <mergeCell ref="A11:K11"/>
    <mergeCell ref="A24:K24"/>
  </mergeCells>
  <conditionalFormatting sqref="J22">
    <cfRule type="cellIs" dxfId="9" priority="5" operator="equal">
      <formula>"FAILED"</formula>
    </cfRule>
    <cfRule type="cellIs" dxfId="8" priority="6" operator="equal">
      <formula>"GOOD"</formula>
    </cfRule>
  </conditionalFormatting>
  <conditionalFormatting sqref="J37">
    <cfRule type="cellIs" dxfId="7" priority="1" operator="equal">
      <formula>"FAILED"</formula>
    </cfRule>
    <cfRule type="cellIs" dxfId="6" priority="2" operator="equal">
      <formula>"GOOD"</formula>
    </cfRule>
  </conditionalFormatting>
  <pageMargins left="0.7" right="0.7" top="0.75" bottom="0.75" header="0.3" footer="0.3"/>
  <pageSetup scale="92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915E1-FDD3-4B88-B331-62BEBDFAE717}">
  <dimension ref="A1:AB48"/>
  <sheetViews>
    <sheetView topLeftCell="A2" zoomScale="90" zoomScaleNormal="90" workbookViewId="0">
      <selection activeCell="B24" sqref="B24"/>
    </sheetView>
  </sheetViews>
  <sheetFormatPr defaultRowHeight="15" x14ac:dyDescent="0.25"/>
  <sheetData>
    <row r="1" spans="1:28" x14ac:dyDescent="0.25">
      <c r="A1" s="135"/>
      <c r="B1" s="38" t="s">
        <v>160</v>
      </c>
      <c r="C1" s="39"/>
      <c r="D1" s="39"/>
      <c r="E1" s="40"/>
      <c r="F1" s="40"/>
      <c r="G1" s="41" t="s">
        <v>161</v>
      </c>
      <c r="H1" s="42" t="s">
        <v>162</v>
      </c>
      <c r="I1" s="43"/>
      <c r="J1" s="41" t="s">
        <v>163</v>
      </c>
      <c r="K1" s="44">
        <v>44420</v>
      </c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x14ac:dyDescent="0.25">
      <c r="A2" s="135"/>
      <c r="B2" s="41" t="s">
        <v>164</v>
      </c>
      <c r="C2" s="46" t="str">
        <f>'[3]AS Min Length'!C2</f>
        <v>TUS-00416-04.73</v>
      </c>
      <c r="D2" s="46"/>
      <c r="E2" s="40"/>
      <c r="F2" s="40"/>
      <c r="G2" s="43"/>
      <c r="H2" s="40"/>
      <c r="I2" s="43"/>
      <c r="J2" s="43"/>
      <c r="K2" s="43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5">
      <c r="A3" s="135"/>
      <c r="B3" s="41" t="s">
        <v>165</v>
      </c>
      <c r="C3" s="46">
        <v>108525</v>
      </c>
      <c r="D3" s="47"/>
      <c r="E3" s="40"/>
      <c r="F3" s="40"/>
      <c r="G3" s="41" t="s">
        <v>166</v>
      </c>
      <c r="H3" s="48"/>
      <c r="I3" s="43"/>
      <c r="J3" s="41" t="s">
        <v>163</v>
      </c>
      <c r="K3" s="44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x14ac:dyDescent="0.25">
      <c r="A4" s="135"/>
      <c r="B4" s="41" t="s">
        <v>167</v>
      </c>
      <c r="C4" s="46" t="s">
        <v>168</v>
      </c>
      <c r="D4" s="29"/>
      <c r="E4" s="49"/>
      <c r="F4" s="40"/>
      <c r="G4" s="40"/>
      <c r="H4" s="43"/>
      <c r="I4" s="43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</row>
    <row r="5" spans="1:28" x14ac:dyDescent="0.25">
      <c r="A5" s="40"/>
      <c r="B5" s="41"/>
      <c r="C5" s="47"/>
      <c r="D5" s="47"/>
      <c r="E5" s="40"/>
      <c r="F5" s="40"/>
      <c r="G5" s="40"/>
      <c r="H5" s="39" t="s">
        <v>169</v>
      </c>
      <c r="I5" s="51">
        <v>1</v>
      </c>
      <c r="J5" s="52" t="s">
        <v>170</v>
      </c>
      <c r="K5" s="53">
        <v>1</v>
      </c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</row>
    <row r="6" spans="1:28" ht="5.0999999999999996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x14ac:dyDescent="0.25">
      <c r="A7" s="116" t="s">
        <v>284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4"/>
      <c r="M7" s="4"/>
      <c r="N7" s="4"/>
    </row>
    <row r="8" spans="1:28" x14ac:dyDescent="0.25">
      <c r="A8" s="28" t="s">
        <v>199</v>
      </c>
    </row>
    <row r="10" spans="1:28" x14ac:dyDescent="0.25">
      <c r="A10" s="28" t="s">
        <v>269</v>
      </c>
    </row>
    <row r="11" spans="1:28" x14ac:dyDescent="0.25">
      <c r="A11" t="str">
        <f>CONCATENATE(K11,L11,M11,N11,O11,P11,Q11,R11,S11,T11,U11,V11,W11,X11,Y11,Z11,AA11,AB11,AC11,AD11)</f>
        <v xml:space="preserve">1.5( 82.38 k) + 1.75(6.84 k) = 135.54 k &lt; 392.41 kips </v>
      </c>
      <c r="G11" s="62" t="str">
        <f>IF(U11&lt;X11, "GOOD", "FAILED")</f>
        <v>GOOD</v>
      </c>
      <c r="M11">
        <v>1.5</v>
      </c>
      <c r="N11" t="s">
        <v>95</v>
      </c>
      <c r="O11">
        <f>Calcs!S94</f>
        <v>82.38</v>
      </c>
      <c r="P11" t="s">
        <v>272</v>
      </c>
      <c r="Q11">
        <v>1.75</v>
      </c>
      <c r="R11" t="s">
        <v>108</v>
      </c>
      <c r="S11">
        <f>Y34</f>
        <v>6.84</v>
      </c>
      <c r="T11" t="s">
        <v>273</v>
      </c>
      <c r="U11">
        <f>ROUND((M11*O11)+(Q11*S11), 2)</f>
        <v>135.54</v>
      </c>
      <c r="V11" t="s">
        <v>274</v>
      </c>
      <c r="W11" t="str">
        <f>IF(U11&lt;X11, "&lt; ", "&gt; ")</f>
        <v xml:space="preserve">&lt; </v>
      </c>
      <c r="X11">
        <f>V31</f>
        <v>392.41</v>
      </c>
      <c r="Y11" t="s">
        <v>275</v>
      </c>
    </row>
    <row r="19" spans="1:26" x14ac:dyDescent="0.25">
      <c r="A19" t="s">
        <v>225</v>
      </c>
      <c r="D19">
        <f>Calcs!X74</f>
        <v>24</v>
      </c>
      <c r="E19" t="s">
        <v>186</v>
      </c>
    </row>
    <row r="20" spans="1:26" x14ac:dyDescent="0.25">
      <c r="A20" t="s">
        <v>226</v>
      </c>
      <c r="D20" t="str">
        <f>CONCATENATE(M20,N20,O20,P20,Q20,R20,S20,T20,U20,V20,W20,X20,Y20,Z20,AA20,AB20,AC20,AD20,AE20,AF20,AG20)</f>
        <v>32k + 0.5(0.64) x ( 20 ft x  2 / 3) = 36.27 kips</v>
      </c>
      <c r="M20">
        <v>32</v>
      </c>
      <c r="N20" t="s">
        <v>147</v>
      </c>
      <c r="O20">
        <v>0.5</v>
      </c>
      <c r="P20" t="s">
        <v>108</v>
      </c>
      <c r="Q20" s="29">
        <v>0.64</v>
      </c>
      <c r="R20" t="s">
        <v>228</v>
      </c>
      <c r="S20">
        <v>20</v>
      </c>
      <c r="T20" t="s">
        <v>230</v>
      </c>
      <c r="U20">
        <v>2</v>
      </c>
      <c r="V20" t="s">
        <v>51</v>
      </c>
      <c r="W20">
        <v>3</v>
      </c>
      <c r="X20" t="s">
        <v>114</v>
      </c>
      <c r="Y20">
        <f>ROUND(M20+(O20*Q20*S20*U20/3), 2)</f>
        <v>36.270000000000003</v>
      </c>
      <c r="Z20" t="s">
        <v>186</v>
      </c>
    </row>
    <row r="21" spans="1:26" x14ac:dyDescent="0.25">
      <c r="A21" t="s">
        <v>227</v>
      </c>
      <c r="D21">
        <f>Calcs!AB75</f>
        <v>9.6</v>
      </c>
      <c r="E21" t="s">
        <v>186</v>
      </c>
    </row>
    <row r="23" spans="1:26" x14ac:dyDescent="0.25">
      <c r="A23" t="s">
        <v>237</v>
      </c>
      <c r="C23" t="str">
        <f>CONCATENATE(M23,N23,O23,P23,Q23,R23,S23,T23,U23,V23,W23,X23,Y23,Z23,AA23,AB23,AC23,AD23,AE23,AF23)</f>
        <v xml:space="preserve">70.6k + 44.2k = 114.8k </v>
      </c>
      <c r="M23" s="32">
        <f>Sheet2!B26</f>
        <v>70.599999999999994</v>
      </c>
      <c r="N23" t="s">
        <v>147</v>
      </c>
      <c r="O23" s="32">
        <f>Sheet2!B35</f>
        <v>44.2</v>
      </c>
      <c r="P23" t="s">
        <v>238</v>
      </c>
      <c r="Q23" s="61">
        <f>M23+O23</f>
        <v>114.8</v>
      </c>
      <c r="R23" t="s">
        <v>239</v>
      </c>
    </row>
    <row r="24" spans="1:26" x14ac:dyDescent="0.25">
      <c r="A24" t="s">
        <v>231</v>
      </c>
      <c r="B24">
        <f>Calcs!S94</f>
        <v>82.38</v>
      </c>
      <c r="C24" t="s">
        <v>152</v>
      </c>
    </row>
    <row r="25" spans="1:26" x14ac:dyDescent="0.25">
      <c r="A25" t="s">
        <v>232</v>
      </c>
      <c r="B25">
        <f>Calcs!S93</f>
        <v>32.35</v>
      </c>
      <c r="C25" t="s">
        <v>152</v>
      </c>
    </row>
    <row r="26" spans="1:26" x14ac:dyDescent="0.25">
      <c r="A26" t="s">
        <v>233</v>
      </c>
      <c r="B26">
        <f>Sheet2!B17</f>
        <v>70.900000000000006</v>
      </c>
      <c r="C26" t="s">
        <v>152</v>
      </c>
    </row>
    <row r="28" spans="1:26" x14ac:dyDescent="0.25">
      <c r="A28" s="60" t="s">
        <v>255</v>
      </c>
      <c r="B28" t="str">
        <f>CONCATENATE(L28,M28,N28,O28,P28,Q28,R28,S28,T28,U28,V28,W28,X28,Y28,Z28,AA28,AB28,AC28,AD28,AE28)</f>
        <v>UBV x No. Vert Piles = 530k x 5 Vert Piles = 2650k</v>
      </c>
      <c r="M28" t="s">
        <v>252</v>
      </c>
      <c r="N28">
        <f>Calcs!D11</f>
        <v>530</v>
      </c>
      <c r="O28" t="s">
        <v>253</v>
      </c>
      <c r="P28" s="29">
        <v>5</v>
      </c>
      <c r="Q28" t="s">
        <v>254</v>
      </c>
      <c r="R28">
        <f>N28*P28</f>
        <v>2650</v>
      </c>
      <c r="S28" t="s">
        <v>152</v>
      </c>
    </row>
    <row r="30" spans="1:26" x14ac:dyDescent="0.25">
      <c r="A30" t="s">
        <v>256</v>
      </c>
      <c r="C30" t="str">
        <f>CONCATENATE(M30,N30,O30,P30,Q30,R30,S30,T30,U30,V30,W30,X30,Y30,Z30,AA30,AB30,AC30,AD30,AE30,AF30)</f>
        <v>(3/3.16) x (310k/p) x (4 battered piles) = 1177.22 kips</v>
      </c>
      <c r="M30" t="s">
        <v>108</v>
      </c>
      <c r="N30">
        <v>3</v>
      </c>
      <c r="O30" t="s">
        <v>229</v>
      </c>
      <c r="P30">
        <v>3.16</v>
      </c>
      <c r="Q30" t="s">
        <v>204</v>
      </c>
      <c r="R30">
        <v>310</v>
      </c>
      <c r="S30" t="s">
        <v>258</v>
      </c>
      <c r="T30">
        <v>4</v>
      </c>
      <c r="U30" t="s">
        <v>259</v>
      </c>
      <c r="V30">
        <f>ROUND(N30/P30*R30*T30, 2)</f>
        <v>1177.22</v>
      </c>
      <c r="W30" t="s">
        <v>186</v>
      </c>
    </row>
    <row r="31" spans="1:26" x14ac:dyDescent="0.25">
      <c r="A31" t="s">
        <v>257</v>
      </c>
      <c r="C31" t="str">
        <f>CONCATENATE(M31,N31,O31,P31,Q31,R31,S31,T31,U31,V31,W31,X31,Y31,Z31,AA31,AB31,AC31,AD31,AE31,AF31)</f>
        <v>(1/3.16) x (310k/p) x (4 battered piles) = 392.41 kips</v>
      </c>
      <c r="M31" t="s">
        <v>108</v>
      </c>
      <c r="N31">
        <v>1</v>
      </c>
      <c r="O31" t="s">
        <v>229</v>
      </c>
      <c r="P31">
        <v>3.16</v>
      </c>
      <c r="Q31" t="s">
        <v>204</v>
      </c>
      <c r="R31">
        <v>310</v>
      </c>
      <c r="S31" t="s">
        <v>258</v>
      </c>
      <c r="T31">
        <v>4</v>
      </c>
      <c r="U31" t="s">
        <v>259</v>
      </c>
      <c r="V31">
        <f>ROUND(N31/P31*R31*T31, 2)</f>
        <v>392.41</v>
      </c>
      <c r="W31" t="s">
        <v>186</v>
      </c>
    </row>
    <row r="33" spans="1:26" x14ac:dyDescent="0.25">
      <c r="A33" t="s">
        <v>260</v>
      </c>
    </row>
    <row r="34" spans="1:26" x14ac:dyDescent="0.25">
      <c r="A34" s="60" t="s">
        <v>261</v>
      </c>
      <c r="B34" t="str">
        <f>CONCATENATE(L34,M34,N34,O34,P34,Q34,R34,S34,T34,U34,V34,W34,X34,Y34,Z34,AA34,AB34,AC34,AD34,AE34)</f>
        <v>k ϒs heq (3.11.6.4-1) = 0.47 x 120lbs/ft^3 x 3.25 ft x 1/1000 =0.183k/ft x 37.375 ft (L) = 6.84 k</v>
      </c>
      <c r="M34" t="s">
        <v>265</v>
      </c>
      <c r="O34">
        <f>B35</f>
        <v>0.47</v>
      </c>
      <c r="P34" t="s">
        <v>157</v>
      </c>
      <c r="Q34">
        <f>Calcs!J84</f>
        <v>120</v>
      </c>
      <c r="R34" t="s">
        <v>196</v>
      </c>
      <c r="S34">
        <f>B36</f>
        <v>3.25</v>
      </c>
      <c r="T34" t="s">
        <v>266</v>
      </c>
      <c r="U34">
        <f>ROUND(O34*Q34*S34/1000, 3)</f>
        <v>0.183</v>
      </c>
      <c r="V34" t="s">
        <v>267</v>
      </c>
      <c r="W34">
        <f>Calcs!D5</f>
        <v>37.375</v>
      </c>
      <c r="X34" t="s">
        <v>268</v>
      </c>
      <c r="Y34">
        <f>ROUND(U34*W34, 2)</f>
        <v>6.84</v>
      </c>
      <c r="Z34" t="s">
        <v>90</v>
      </c>
    </row>
    <row r="35" spans="1:26" x14ac:dyDescent="0.25">
      <c r="A35" s="60" t="s">
        <v>264</v>
      </c>
      <c r="B35">
        <f>Calcs!J83</f>
        <v>0.47</v>
      </c>
    </row>
    <row r="36" spans="1:26" x14ac:dyDescent="0.25">
      <c r="A36" t="s">
        <v>262</v>
      </c>
      <c r="B36" s="29">
        <v>3.25</v>
      </c>
      <c r="C36" t="s">
        <v>263</v>
      </c>
    </row>
    <row r="38" spans="1:26" x14ac:dyDescent="0.25">
      <c r="A38" s="28" t="s">
        <v>216</v>
      </c>
    </row>
    <row r="39" spans="1:26" x14ac:dyDescent="0.25">
      <c r="F39" s="64" t="str">
        <f>CONCATENATE(K39,L39,M39,N39,O39,P39,Q39,R39,S39,T39,U39,V39,W39,X39,Y39,Z39,AA39,AB39,AC39,AD39)</f>
        <v>1.25 ( 192.48 k + 36.27 k + 114.8 k + 70.9 k ) = 518.06k</v>
      </c>
      <c r="M39">
        <v>1.25</v>
      </c>
      <c r="N39" t="s">
        <v>146</v>
      </c>
      <c r="O39">
        <f>Sheet3!S13</f>
        <v>192.48</v>
      </c>
      <c r="P39" t="s">
        <v>276</v>
      </c>
      <c r="Q39">
        <f>Y20</f>
        <v>36.270000000000003</v>
      </c>
      <c r="R39" t="s">
        <v>276</v>
      </c>
      <c r="S39">
        <f>Q23</f>
        <v>114.8</v>
      </c>
      <c r="T39" t="s">
        <v>276</v>
      </c>
      <c r="U39">
        <f>Sheet2!B17</f>
        <v>70.900000000000006</v>
      </c>
      <c r="V39" t="s">
        <v>277</v>
      </c>
      <c r="W39">
        <f>ROUND(M39*(O39+Q39+S39+U39), 2)</f>
        <v>518.05999999999995</v>
      </c>
      <c r="X39" t="s">
        <v>152</v>
      </c>
    </row>
    <row r="40" spans="1:26" x14ac:dyDescent="0.25">
      <c r="F40" s="64" t="str">
        <f>CONCATENATE(K40,L40,M40,N40,O40,P40,Q40,R40,S40,T40,U40,V40,W40,X40,Y40,Z40,AA40,AB40,AC40,AD40)</f>
        <v xml:space="preserve"> + 1.5 ( 37.99 k + 9.6 k ) = 71.39k</v>
      </c>
      <c r="M40" s="63" t="s">
        <v>33</v>
      </c>
      <c r="N40">
        <v>1.5</v>
      </c>
      <c r="O40" t="s">
        <v>146</v>
      </c>
      <c r="P40">
        <f>Sheet3!U15</f>
        <v>37.99</v>
      </c>
      <c r="Q40" t="s">
        <v>276</v>
      </c>
      <c r="R40">
        <f>D21</f>
        <v>9.6</v>
      </c>
      <c r="S40" t="s">
        <v>277</v>
      </c>
      <c r="T40">
        <f>ROUND(N40*(P40+R40), 2)</f>
        <v>71.39</v>
      </c>
      <c r="U40" t="s">
        <v>152</v>
      </c>
    </row>
    <row r="41" spans="1:26" x14ac:dyDescent="0.25">
      <c r="F41" s="64" t="str">
        <f>CONCATENATE(K41,L41,M41,N41,O41,P41,Q41,R41,S41,T41,U41,V41,W41,X41,Y41,Z41,AA41,AB41,AC41,AD41)</f>
        <v xml:space="preserve"> + 1.75 ( 211.68 k + 36.27 k ) = 433.91k</v>
      </c>
      <c r="M41" s="63" t="s">
        <v>33</v>
      </c>
      <c r="N41">
        <v>1.75</v>
      </c>
      <c r="O41" t="s">
        <v>146</v>
      </c>
      <c r="P41">
        <f>Sheet3!S14</f>
        <v>211.68</v>
      </c>
      <c r="Q41" t="s">
        <v>276</v>
      </c>
      <c r="R41">
        <f>Y20</f>
        <v>36.270000000000003</v>
      </c>
      <c r="S41" t="s">
        <v>277</v>
      </c>
      <c r="T41">
        <f>ROUND(N41*(P41+R41), 2)</f>
        <v>433.91</v>
      </c>
      <c r="U41" t="s">
        <v>152</v>
      </c>
    </row>
    <row r="42" spans="1:26" x14ac:dyDescent="0.25">
      <c r="D42" s="65"/>
      <c r="E42" s="65"/>
      <c r="F42" s="66" t="str">
        <f>CONCATENATE(K42,L42,M42,N42,O42,P42,Q42,R42,S42,T42,U42,V42,W42,X42,Y42,Z42,AA42,AB42,AC42,AD42)</f>
        <v xml:space="preserve"> + 1.5 ( 32.35 k ) = 48.53k</v>
      </c>
      <c r="M42" s="63" t="s">
        <v>33</v>
      </c>
      <c r="N42">
        <v>1.5</v>
      </c>
      <c r="O42" t="s">
        <v>146</v>
      </c>
      <c r="P42">
        <f>Calcs!S93</f>
        <v>32.35</v>
      </c>
      <c r="Q42" t="s">
        <v>277</v>
      </c>
      <c r="R42">
        <f>ROUND(N42*P42, 2)</f>
        <v>48.53</v>
      </c>
      <c r="S42" t="s">
        <v>152</v>
      </c>
    </row>
    <row r="43" spans="1:26" x14ac:dyDescent="0.25">
      <c r="F43" t="str">
        <f>CONCATENATE(Q43,R43,S43,T43,U43,V43,W43,X43,Y43,Z43,AA43,AB43,AC43,AD43,AE43,AF43,AG43,AH43,AI43,AJ43)</f>
        <v>1071.89 k &lt; 3827.22 k</v>
      </c>
      <c r="J43" s="62" t="str">
        <f>IF(T43&lt;W43, "GOOD", "FAILED")</f>
        <v>GOOD</v>
      </c>
      <c r="M43" s="63"/>
      <c r="T43">
        <f>W39+T40+T41+R42</f>
        <v>1071.8899999999999</v>
      </c>
      <c r="U43" t="s">
        <v>274</v>
      </c>
      <c r="V43" s="67" t="str">
        <f>IF(T43&lt;W43, "&lt; ", "&gt; ")</f>
        <v xml:space="preserve">&lt; </v>
      </c>
      <c r="W43">
        <f>V30+R28</f>
        <v>3827.2200000000003</v>
      </c>
      <c r="X43" t="s">
        <v>90</v>
      </c>
    </row>
    <row r="45" spans="1:26" x14ac:dyDescent="0.25">
      <c r="A45" s="28" t="s">
        <v>270</v>
      </c>
    </row>
    <row r="48" spans="1:26" x14ac:dyDescent="0.25">
      <c r="A48" s="28" t="s">
        <v>271</v>
      </c>
    </row>
  </sheetData>
  <mergeCells count="2">
    <mergeCell ref="A1:A4"/>
    <mergeCell ref="A7:K7"/>
  </mergeCells>
  <conditionalFormatting sqref="G11">
    <cfRule type="cellIs" dxfId="5" priority="3" operator="equal">
      <formula>"FAILED"</formula>
    </cfRule>
    <cfRule type="cellIs" dxfId="4" priority="4" operator="equal">
      <formula>"GOOD"</formula>
    </cfRule>
  </conditionalFormatting>
  <conditionalFormatting sqref="J43">
    <cfRule type="cellIs" dxfId="3" priority="1" operator="equal">
      <formula>"FAILED"</formula>
    </cfRule>
    <cfRule type="cellIs" dxfId="2" priority="2" operator="equal">
      <formula>"GOOD"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97F58-5B66-494A-99EE-52E6C0FED98D}">
  <dimension ref="A1:AE152"/>
  <sheetViews>
    <sheetView workbookViewId="0">
      <selection activeCell="J85" sqref="J85"/>
    </sheetView>
  </sheetViews>
  <sheetFormatPr defaultRowHeight="15" x14ac:dyDescent="0.25"/>
  <sheetData>
    <row r="1" spans="1:6" x14ac:dyDescent="0.25">
      <c r="A1" s="28" t="s">
        <v>481</v>
      </c>
    </row>
    <row r="2" spans="1:6" x14ac:dyDescent="0.25">
      <c r="A2" s="28"/>
    </row>
    <row r="3" spans="1:6" x14ac:dyDescent="0.25">
      <c r="A3" s="28" t="s">
        <v>234</v>
      </c>
    </row>
    <row r="4" spans="1:6" x14ac:dyDescent="0.25">
      <c r="A4" s="28"/>
    </row>
    <row r="5" spans="1:6" x14ac:dyDescent="0.25">
      <c r="A5" t="s">
        <v>171</v>
      </c>
      <c r="D5" s="29">
        <v>37.375</v>
      </c>
      <c r="E5" t="s">
        <v>58</v>
      </c>
    </row>
    <row r="6" spans="1:6" x14ac:dyDescent="0.25">
      <c r="A6" t="s">
        <v>172</v>
      </c>
      <c r="D6" s="29">
        <v>3</v>
      </c>
      <c r="E6" t="s">
        <v>58</v>
      </c>
    </row>
    <row r="7" spans="1:6" x14ac:dyDescent="0.25">
      <c r="A7" t="s">
        <v>173</v>
      </c>
      <c r="D7" s="29">
        <v>0</v>
      </c>
      <c r="E7" t="s">
        <v>58</v>
      </c>
    </row>
    <row r="8" spans="1:6" x14ac:dyDescent="0.25">
      <c r="A8" t="s">
        <v>174</v>
      </c>
      <c r="D8" s="29">
        <v>3.25</v>
      </c>
      <c r="E8" t="s">
        <v>58</v>
      </c>
    </row>
    <row r="9" spans="1:6" x14ac:dyDescent="0.25">
      <c r="A9" t="s">
        <v>175</v>
      </c>
      <c r="D9" s="29">
        <v>0</v>
      </c>
      <c r="E9" t="s">
        <v>58</v>
      </c>
    </row>
    <row r="10" spans="1:6" x14ac:dyDescent="0.25">
      <c r="B10" t="s">
        <v>488</v>
      </c>
      <c r="D10" s="29"/>
    </row>
    <row r="11" spans="1:6" x14ac:dyDescent="0.25">
      <c r="A11" t="s">
        <v>487</v>
      </c>
      <c r="B11" t="s">
        <v>486</v>
      </c>
      <c r="D11">
        <f>VLOOKUP(B11,A147:B152,2)</f>
        <v>530</v>
      </c>
      <c r="E11" t="s">
        <v>152</v>
      </c>
      <c r="F11" t="s">
        <v>251</v>
      </c>
    </row>
    <row r="12" spans="1:6" x14ac:dyDescent="0.25">
      <c r="A12" s="28"/>
    </row>
    <row r="13" spans="1:6" x14ac:dyDescent="0.25">
      <c r="A13" s="28" t="s">
        <v>397</v>
      </c>
    </row>
    <row r="14" spans="1:6" x14ac:dyDescent="0.25">
      <c r="A14" s="28"/>
    </row>
    <row r="15" spans="1:6" x14ac:dyDescent="0.25">
      <c r="A15" t="s">
        <v>57</v>
      </c>
      <c r="D15" s="29">
        <v>7.36</v>
      </c>
      <c r="E15" t="s">
        <v>58</v>
      </c>
    </row>
    <row r="16" spans="1:6" x14ac:dyDescent="0.25">
      <c r="A16" t="s">
        <v>59</v>
      </c>
      <c r="D16" s="29">
        <v>16</v>
      </c>
      <c r="E16" t="s">
        <v>58</v>
      </c>
    </row>
    <row r="17" spans="1:15" x14ac:dyDescent="0.25">
      <c r="A17" t="s">
        <v>60</v>
      </c>
      <c r="D17" s="29">
        <f>ROUND(((5+(3.625/12))+(5+(6.625/12)))/2,2)</f>
        <v>5.43</v>
      </c>
      <c r="E17" t="s">
        <v>58</v>
      </c>
    </row>
    <row r="18" spans="1:15" x14ac:dyDescent="0.25">
      <c r="A18" t="s">
        <v>61</v>
      </c>
      <c r="D18" s="29">
        <v>32.5</v>
      </c>
      <c r="E18" t="s">
        <v>58</v>
      </c>
    </row>
    <row r="19" spans="1:15" x14ac:dyDescent="0.25">
      <c r="A19" t="s">
        <v>62</v>
      </c>
      <c r="D19" s="29">
        <v>0.98</v>
      </c>
      <c r="E19" t="s">
        <v>58</v>
      </c>
    </row>
    <row r="20" spans="1:15" x14ac:dyDescent="0.25">
      <c r="A20" t="s">
        <v>63</v>
      </c>
      <c r="D20" s="29">
        <f>ROUND(11/12,2)</f>
        <v>0.92</v>
      </c>
      <c r="E20" t="s">
        <v>58</v>
      </c>
    </row>
    <row r="21" spans="1:15" x14ac:dyDescent="0.25">
      <c r="A21" t="s">
        <v>64</v>
      </c>
      <c r="D21" s="29">
        <v>32.5</v>
      </c>
      <c r="E21" t="s">
        <v>58</v>
      </c>
    </row>
    <row r="22" spans="1:15" x14ac:dyDescent="0.25">
      <c r="A22" t="s">
        <v>65</v>
      </c>
      <c r="D22" s="29">
        <v>2.5</v>
      </c>
      <c r="E22" t="s">
        <v>58</v>
      </c>
    </row>
    <row r="23" spans="1:15" x14ac:dyDescent="0.25">
      <c r="A23" t="s">
        <v>210</v>
      </c>
      <c r="D23" s="61">
        <f>ROUND(D17+D19+2.75,2)</f>
        <v>9.16</v>
      </c>
      <c r="E23" t="s">
        <v>58</v>
      </c>
    </row>
    <row r="24" spans="1:15" x14ac:dyDescent="0.25">
      <c r="D24" s="61"/>
    </row>
    <row r="25" spans="1:15" x14ac:dyDescent="0.25">
      <c r="A25" s="30" t="s">
        <v>235</v>
      </c>
    </row>
    <row r="26" spans="1:15" x14ac:dyDescent="0.25">
      <c r="A26" t="s">
        <v>211</v>
      </c>
      <c r="D26" s="29">
        <v>12.03</v>
      </c>
      <c r="E26" t="s">
        <v>217</v>
      </c>
      <c r="F26" t="s">
        <v>213</v>
      </c>
    </row>
    <row r="27" spans="1:15" x14ac:dyDescent="0.25">
      <c r="A27" t="s">
        <v>212</v>
      </c>
      <c r="D27" s="29">
        <v>13.23</v>
      </c>
      <c r="E27" t="s">
        <v>217</v>
      </c>
      <c r="F27" t="s">
        <v>213</v>
      </c>
    </row>
    <row r="29" spans="1:15" x14ac:dyDescent="0.25">
      <c r="A29" s="30" t="s">
        <v>66</v>
      </c>
    </row>
    <row r="31" spans="1:15" x14ac:dyDescent="0.25">
      <c r="A31" s="28" t="s">
        <v>67</v>
      </c>
      <c r="N31" s="60" t="s">
        <v>285</v>
      </c>
      <c r="O31" s="60" t="s">
        <v>286</v>
      </c>
    </row>
    <row r="32" spans="1:15" x14ac:dyDescent="0.25">
      <c r="A32" s="28"/>
    </row>
    <row r="33" spans="1:31" x14ac:dyDescent="0.25">
      <c r="A33" t="s">
        <v>68</v>
      </c>
    </row>
    <row r="34" spans="1:31" ht="17.25" x14ac:dyDescent="0.25">
      <c r="A34" t="s">
        <v>69</v>
      </c>
      <c r="C34" s="29">
        <v>5.6405000000000003</v>
      </c>
      <c r="D34" t="s">
        <v>70</v>
      </c>
    </row>
    <row r="35" spans="1:31" ht="17.25" x14ac:dyDescent="0.25">
      <c r="A35" t="s">
        <v>71</v>
      </c>
      <c r="C35" s="29">
        <v>4.1300999999999997</v>
      </c>
      <c r="D35" t="s">
        <v>70</v>
      </c>
    </row>
    <row r="36" spans="1:31" x14ac:dyDescent="0.25">
      <c r="A36" t="s">
        <v>72</v>
      </c>
    </row>
    <row r="37" spans="1:31" ht="17.25" x14ac:dyDescent="0.25">
      <c r="A37" t="s">
        <v>69</v>
      </c>
      <c r="C37" s="29">
        <v>5.6143000000000001</v>
      </c>
      <c r="D37" t="s">
        <v>70</v>
      </c>
    </row>
    <row r="38" spans="1:31" ht="17.25" x14ac:dyDescent="0.25">
      <c r="A38" t="s">
        <v>71</v>
      </c>
      <c r="C38" s="29">
        <v>4.1039000000000003</v>
      </c>
      <c r="D38" t="s">
        <v>70</v>
      </c>
    </row>
    <row r="40" spans="1:31" x14ac:dyDescent="0.25">
      <c r="A40" t="s">
        <v>73</v>
      </c>
      <c r="C40" s="29">
        <v>39</v>
      </c>
      <c r="D40" t="s">
        <v>58</v>
      </c>
      <c r="E40" t="s">
        <v>74</v>
      </c>
    </row>
    <row r="41" spans="1:31" x14ac:dyDescent="0.25">
      <c r="A41" t="s">
        <v>75</v>
      </c>
      <c r="C41" s="29">
        <v>3</v>
      </c>
      <c r="D41" t="s">
        <v>76</v>
      </c>
      <c r="E41" s="31">
        <v>2</v>
      </c>
    </row>
    <row r="42" spans="1:31" x14ac:dyDescent="0.25">
      <c r="A42" t="s">
        <v>77</v>
      </c>
      <c r="C42" s="29">
        <v>1.5</v>
      </c>
      <c r="D42" t="s">
        <v>76</v>
      </c>
      <c r="E42" s="31">
        <v>1</v>
      </c>
    </row>
    <row r="43" spans="1:31" x14ac:dyDescent="0.25">
      <c r="A43" t="s">
        <v>78</v>
      </c>
      <c r="C43" s="32">
        <f>C40-(C41*E41)-(C42*E42)</f>
        <v>31.5</v>
      </c>
      <c r="D43" t="s">
        <v>58</v>
      </c>
      <c r="E43" s="33"/>
    </row>
    <row r="44" spans="1:31" ht="17.25" x14ac:dyDescent="0.25">
      <c r="A44" t="s">
        <v>79</v>
      </c>
      <c r="C44" s="29">
        <v>0.15</v>
      </c>
      <c r="D44" t="s">
        <v>80</v>
      </c>
    </row>
    <row r="45" spans="1:31" x14ac:dyDescent="0.25">
      <c r="C45" s="29"/>
    </row>
    <row r="46" spans="1:31" x14ac:dyDescent="0.25">
      <c r="A46" s="28" t="s">
        <v>81</v>
      </c>
    </row>
    <row r="47" spans="1:31" ht="17.25" x14ac:dyDescent="0.25">
      <c r="A47" t="s">
        <v>79</v>
      </c>
      <c r="B47" t="str">
        <f>CONCATENATE(M47,N47,O47,P47,Q47,R47,S47,T47,U47,V47,W47,X47,Y47,Z47,AA47,AB47,AC47,AD47,AE47)</f>
        <v>[(3 FT x 5.6405 FT2 x 2 EACH) + (31.5FT x 4.1301 FT2 ) + (1.5FT x 5.6405 FT2 )] x 0.15k/FT3 = 25.86 k</v>
      </c>
      <c r="M47" t="s">
        <v>82</v>
      </c>
      <c r="N47" s="29">
        <f>C41</f>
        <v>3</v>
      </c>
      <c r="O47" t="s">
        <v>83</v>
      </c>
      <c r="P47" s="29">
        <f>C34</f>
        <v>5.6405000000000003</v>
      </c>
      <c r="Q47" t="s">
        <v>84</v>
      </c>
      <c r="R47" s="29">
        <f>E41</f>
        <v>2</v>
      </c>
      <c r="S47" t="s">
        <v>85</v>
      </c>
      <c r="T47" s="32">
        <f>C43</f>
        <v>31.5</v>
      </c>
      <c r="U47" t="s">
        <v>86</v>
      </c>
      <c r="V47" s="29">
        <f>C35</f>
        <v>4.1300999999999997</v>
      </c>
      <c r="W47" t="s">
        <v>87</v>
      </c>
      <c r="X47" s="29">
        <f>C42</f>
        <v>1.5</v>
      </c>
      <c r="Y47" t="s">
        <v>86</v>
      </c>
      <c r="Z47" s="29">
        <f>C34</f>
        <v>5.6405000000000003</v>
      </c>
      <c r="AA47" t="s">
        <v>88</v>
      </c>
      <c r="AB47" s="29">
        <f>C44</f>
        <v>0.15</v>
      </c>
      <c r="AC47" t="s">
        <v>89</v>
      </c>
      <c r="AD47" s="32">
        <f>ROUND(((N47*P47*R47)+(T47*V47)+(X47*Z47))*AB47,2)</f>
        <v>25.86</v>
      </c>
      <c r="AE47" t="s">
        <v>90</v>
      </c>
    </row>
    <row r="49" spans="1:31" x14ac:dyDescent="0.25">
      <c r="A49" s="28" t="s">
        <v>91</v>
      </c>
    </row>
    <row r="50" spans="1:31" ht="17.25" x14ac:dyDescent="0.25">
      <c r="A50" t="s">
        <v>79</v>
      </c>
      <c r="B50" t="str">
        <f>CONCATENATE(M50,N50,O50,P50,Q50,R50,S50,T50,U50,V50,W50,X50,Y50,Z50,AA50,AB50,AC50,AD50,AE50)</f>
        <v>[(3 FT x 5.6143 FT2 x 2 EACH) + (31.5FT x 4.1039 FT2 ) + (1.5FT x 5.6143 FT2 )] x 0.15k/FT3 = 25.71 k</v>
      </c>
      <c r="M50" t="s">
        <v>82</v>
      </c>
      <c r="N50" s="29">
        <f>C41</f>
        <v>3</v>
      </c>
      <c r="O50" t="s">
        <v>83</v>
      </c>
      <c r="P50" s="29">
        <f>C37</f>
        <v>5.6143000000000001</v>
      </c>
      <c r="Q50" t="s">
        <v>84</v>
      </c>
      <c r="R50" s="29">
        <f>E41</f>
        <v>2</v>
      </c>
      <c r="S50" t="s">
        <v>85</v>
      </c>
      <c r="T50" s="32">
        <f>C43</f>
        <v>31.5</v>
      </c>
      <c r="U50" t="s">
        <v>86</v>
      </c>
      <c r="V50" s="29">
        <f>C38</f>
        <v>4.1039000000000003</v>
      </c>
      <c r="W50" t="s">
        <v>87</v>
      </c>
      <c r="X50" s="29">
        <f>C42</f>
        <v>1.5</v>
      </c>
      <c r="Y50" t="s">
        <v>86</v>
      </c>
      <c r="Z50" s="29">
        <f>C37</f>
        <v>5.6143000000000001</v>
      </c>
      <c r="AA50" t="s">
        <v>88</v>
      </c>
      <c r="AB50" s="29">
        <f>C44</f>
        <v>0.15</v>
      </c>
      <c r="AC50" t="s">
        <v>89</v>
      </c>
      <c r="AD50" s="32">
        <f>ROUND(((N50*P50*R50)+(T50*V50)+(X50*Z50))*AB50,2)</f>
        <v>25.71</v>
      </c>
      <c r="AE50" t="s">
        <v>90</v>
      </c>
    </row>
    <row r="52" spans="1:31" x14ac:dyDescent="0.25">
      <c r="A52" s="28" t="s">
        <v>92</v>
      </c>
      <c r="C52" s="29">
        <v>0.08</v>
      </c>
      <c r="D52" t="s">
        <v>93</v>
      </c>
    </row>
    <row r="53" spans="1:31" x14ac:dyDescent="0.25">
      <c r="A53" t="s">
        <v>94</v>
      </c>
      <c r="C53" s="29">
        <v>93.54</v>
      </c>
      <c r="D53" t="s">
        <v>58</v>
      </c>
    </row>
    <row r="54" spans="1:31" x14ac:dyDescent="0.25">
      <c r="A54" t="s">
        <v>79</v>
      </c>
      <c r="B54" t="str">
        <f>CONCATENATE(M54,N54,O54,P54,Q54,R54,S54,T54,U54,V54,W54,X54,Y54,Z54,AA54,AB54,AC54,AD54,AE54)</f>
        <v>( 93.54 FT x 0.08 k-FT x 2 SIDES) = 14.97 k</v>
      </c>
      <c r="M54" t="s">
        <v>95</v>
      </c>
      <c r="N54" s="29">
        <f>C53</f>
        <v>93.54</v>
      </c>
      <c r="O54" t="s">
        <v>83</v>
      </c>
      <c r="P54" s="29">
        <f>C52</f>
        <v>0.08</v>
      </c>
      <c r="Q54" t="s">
        <v>96</v>
      </c>
      <c r="R54" s="29">
        <v>2</v>
      </c>
      <c r="S54" t="s">
        <v>97</v>
      </c>
      <c r="T54" s="32">
        <f>ROUND(N54*P54*R54, 2)</f>
        <v>14.97</v>
      </c>
      <c r="U54" t="s">
        <v>90</v>
      </c>
    </row>
    <row r="56" spans="1:31" x14ac:dyDescent="0.25">
      <c r="A56" s="28" t="s">
        <v>98</v>
      </c>
    </row>
    <row r="57" spans="1:31" x14ac:dyDescent="0.25">
      <c r="A57" t="s">
        <v>73</v>
      </c>
      <c r="C57" s="29">
        <v>39.17</v>
      </c>
      <c r="D57" t="s">
        <v>58</v>
      </c>
    </row>
    <row r="58" spans="1:31" x14ac:dyDescent="0.25">
      <c r="A58" t="s">
        <v>99</v>
      </c>
      <c r="C58" s="29">
        <v>32</v>
      </c>
      <c r="D58" t="s">
        <v>58</v>
      </c>
    </row>
    <row r="59" spans="1:31" x14ac:dyDescent="0.25">
      <c r="A59" t="s">
        <v>100</v>
      </c>
      <c r="C59" s="29">
        <v>0.5</v>
      </c>
      <c r="D59" t="s">
        <v>58</v>
      </c>
    </row>
    <row r="60" spans="1:31" ht="17.25" x14ac:dyDescent="0.25">
      <c r="A60" t="s">
        <v>79</v>
      </c>
      <c r="C60" s="29">
        <v>0.15</v>
      </c>
      <c r="D60" t="s">
        <v>80</v>
      </c>
    </row>
    <row r="61" spans="1:31" x14ac:dyDescent="0.25">
      <c r="A61" t="s">
        <v>458</v>
      </c>
      <c r="C61" s="29">
        <v>0.68389999999999995</v>
      </c>
      <c r="D61" s="60" t="s">
        <v>195</v>
      </c>
    </row>
    <row r="62" spans="1:31" ht="17.25" x14ac:dyDescent="0.25">
      <c r="A62" t="s">
        <v>79</v>
      </c>
      <c r="B62" t="str">
        <f>CONCATENATE(M62,N62,O62,P62,Q62,R62,S62,T62,U62,V62,W62,X62,Y62,Z62,AA62,AB62,AC62,AD62,AE62)</f>
        <v>( 39.17 FT x 32 FT x 0.5 FT x 0.15 k/FT3 ) = 94.01 k</v>
      </c>
      <c r="M62" t="s">
        <v>95</v>
      </c>
      <c r="N62" s="29">
        <f>C57</f>
        <v>39.17</v>
      </c>
      <c r="O62" t="s">
        <v>83</v>
      </c>
      <c r="P62" s="29">
        <f>C58</f>
        <v>32</v>
      </c>
      <c r="Q62" t="s">
        <v>83</v>
      </c>
      <c r="R62" s="29">
        <f>C59</f>
        <v>0.5</v>
      </c>
      <c r="S62" t="s">
        <v>83</v>
      </c>
      <c r="T62" s="29">
        <f>C60</f>
        <v>0.15</v>
      </c>
      <c r="U62" t="s">
        <v>101</v>
      </c>
      <c r="V62" s="32">
        <f>ROUND(N62*P62*R62*T62, 2)</f>
        <v>94.01</v>
      </c>
      <c r="W62" t="s">
        <v>90</v>
      </c>
    </row>
    <row r="65" spans="1:29" x14ac:dyDescent="0.25">
      <c r="A65" s="28" t="s">
        <v>102</v>
      </c>
    </row>
    <row r="66" spans="1:29" x14ac:dyDescent="0.25">
      <c r="A66" s="28" t="s">
        <v>103</v>
      </c>
    </row>
    <row r="67" spans="1:29" x14ac:dyDescent="0.25">
      <c r="A67" t="s">
        <v>73</v>
      </c>
      <c r="C67" s="29">
        <v>15</v>
      </c>
      <c r="D67" t="s">
        <v>58</v>
      </c>
    </row>
    <row r="68" spans="1:29" x14ac:dyDescent="0.25">
      <c r="A68" t="s">
        <v>99</v>
      </c>
      <c r="C68" s="29">
        <v>32</v>
      </c>
      <c r="D68" t="s">
        <v>58</v>
      </c>
    </row>
    <row r="69" spans="1:29" x14ac:dyDescent="0.25">
      <c r="A69" t="s">
        <v>100</v>
      </c>
      <c r="C69" s="29">
        <v>12</v>
      </c>
      <c r="D69" t="s">
        <v>104</v>
      </c>
    </row>
    <row r="70" spans="1:29" ht="17.25" x14ac:dyDescent="0.25">
      <c r="A70" t="s">
        <v>79</v>
      </c>
      <c r="C70" s="29">
        <v>0.15</v>
      </c>
      <c r="D70" t="s">
        <v>80</v>
      </c>
    </row>
    <row r="71" spans="1:29" ht="17.25" x14ac:dyDescent="0.25">
      <c r="A71" t="s">
        <v>105</v>
      </c>
      <c r="C71" s="29">
        <v>0.06</v>
      </c>
      <c r="D71" t="s">
        <v>106</v>
      </c>
    </row>
    <row r="73" spans="1:29" ht="18.75" x14ac:dyDescent="0.35">
      <c r="A73" t="s">
        <v>107</v>
      </c>
      <c r="C73" t="str">
        <f>CONCATENATE(M73,N73,O73,P73,Q73,R73,S73,T73,U73,V73,W73,X73,Y73,Z73,AA73,AB73,AC73,AD73,AE73,AF73)</f>
        <v>(15 FT x 32 FT x (12 / 12) x 0.15 k/FT3 ) = 72 k</v>
      </c>
      <c r="M73" t="s">
        <v>108</v>
      </c>
      <c r="N73" s="29">
        <f>C67</f>
        <v>15</v>
      </c>
      <c r="O73" t="s">
        <v>83</v>
      </c>
      <c r="P73" s="29">
        <f>C68</f>
        <v>32</v>
      </c>
      <c r="Q73" t="s">
        <v>109</v>
      </c>
      <c r="R73" s="29">
        <f>C69</f>
        <v>12</v>
      </c>
      <c r="S73" t="s">
        <v>51</v>
      </c>
      <c r="T73" s="29">
        <v>12</v>
      </c>
      <c r="U73" t="s">
        <v>110</v>
      </c>
      <c r="V73" s="29">
        <f>C70</f>
        <v>0.15</v>
      </c>
      <c r="W73" t="s">
        <v>101</v>
      </c>
      <c r="X73" s="32">
        <f>ROUND(((N73*P73)*(R73/T73))*V73,2)</f>
        <v>72</v>
      </c>
      <c r="Y73" t="s">
        <v>90</v>
      </c>
    </row>
    <row r="74" spans="1:29" ht="18" x14ac:dyDescent="0.35">
      <c r="A74" t="s">
        <v>111</v>
      </c>
      <c r="C74" t="str">
        <f>CONCATENATE(M74,N74,O74,P74,Q74,R74,S74,T74,U74,V74,W74,X74,Y74,Z74,AA74,AB74,AC74,AD74,AE74,AF74)</f>
        <v>(72 k ) ( 2 / 3) ( 1 / 2) = 24 k (DC)</v>
      </c>
      <c r="M74" t="s">
        <v>108</v>
      </c>
      <c r="N74" s="32">
        <f>X73</f>
        <v>72</v>
      </c>
      <c r="O74" t="s">
        <v>112</v>
      </c>
      <c r="P74" s="29">
        <v>2</v>
      </c>
      <c r="Q74" t="s">
        <v>51</v>
      </c>
      <c r="R74" s="29">
        <v>3</v>
      </c>
      <c r="S74" t="s">
        <v>113</v>
      </c>
      <c r="T74" s="29">
        <v>1</v>
      </c>
      <c r="U74" t="s">
        <v>51</v>
      </c>
      <c r="V74" s="29">
        <v>2</v>
      </c>
      <c r="W74" t="s">
        <v>114</v>
      </c>
      <c r="X74" s="32">
        <f>ROUND(N74*P74/R74*T74/V74,2)</f>
        <v>24</v>
      </c>
      <c r="Y74" t="s">
        <v>115</v>
      </c>
    </row>
    <row r="75" spans="1:29" ht="18.75" x14ac:dyDescent="0.35">
      <c r="A75" t="s">
        <v>116</v>
      </c>
      <c r="C75" t="str">
        <f>CONCATENATE(M75,N75,O75,P75,Q75,R75,S75,T75,U75,V75,W75,X75,Y75,Z75,AA75,AB75,AC75,AD75,AE75,AF75)</f>
        <v>(0.06k/FT^2 ) (15 FT ) x (32 FT ) x (2 / 3) ( 1 / 2) = 9.6 k (DW)</v>
      </c>
      <c r="M75" t="s">
        <v>108</v>
      </c>
      <c r="N75" s="29">
        <f>C71</f>
        <v>0.06</v>
      </c>
      <c r="O75" t="s">
        <v>308</v>
      </c>
      <c r="P75" s="29">
        <f>C67</f>
        <v>15</v>
      </c>
      <c r="Q75" t="s">
        <v>117</v>
      </c>
      <c r="R75" s="29">
        <f>C68</f>
        <v>32</v>
      </c>
      <c r="S75" t="s">
        <v>117</v>
      </c>
      <c r="T75" s="29">
        <v>2</v>
      </c>
      <c r="U75" t="s">
        <v>51</v>
      </c>
      <c r="V75" s="29">
        <v>3</v>
      </c>
      <c r="W75" t="s">
        <v>113</v>
      </c>
      <c r="X75" s="29">
        <v>1</v>
      </c>
      <c r="Y75" t="s">
        <v>51</v>
      </c>
      <c r="Z75" s="29">
        <v>2</v>
      </c>
      <c r="AA75" t="s">
        <v>114</v>
      </c>
      <c r="AB75" s="32">
        <f>ROUND(N75*P75*R75*T75/V75*X75/Z75,2)</f>
        <v>9.6</v>
      </c>
      <c r="AC75" t="s">
        <v>118</v>
      </c>
    </row>
    <row r="76" spans="1:29" x14ac:dyDescent="0.25">
      <c r="A76" t="s">
        <v>119</v>
      </c>
      <c r="C76" s="34">
        <f>ROUND(C71*C57*C58,2)</f>
        <v>75.209999999999994</v>
      </c>
      <c r="D76" t="s">
        <v>120</v>
      </c>
    </row>
    <row r="78" spans="1:29" x14ac:dyDescent="0.25">
      <c r="A78" t="s">
        <v>121</v>
      </c>
    </row>
    <row r="80" spans="1:29" x14ac:dyDescent="0.25">
      <c r="A80" s="28" t="s">
        <v>122</v>
      </c>
      <c r="E80" t="s">
        <v>187</v>
      </c>
    </row>
    <row r="81" spans="1:23" x14ac:dyDescent="0.25">
      <c r="A81" s="58" t="s">
        <v>202</v>
      </c>
      <c r="C81" t="s">
        <v>200</v>
      </c>
    </row>
    <row r="82" spans="1:23" x14ac:dyDescent="0.25">
      <c r="A82" s="58" t="s">
        <v>190</v>
      </c>
    </row>
    <row r="83" spans="1:23" x14ac:dyDescent="0.25">
      <c r="A83" s="58" t="s">
        <v>193</v>
      </c>
      <c r="J83" s="55">
        <f>ROUND(1-SIN(N83),2)</f>
        <v>0.47</v>
      </c>
      <c r="N83">
        <f>PI()/180*J86</f>
        <v>0.55850536063818546</v>
      </c>
    </row>
    <row r="84" spans="1:23" x14ac:dyDescent="0.25">
      <c r="A84" s="59" t="s">
        <v>189</v>
      </c>
      <c r="J84" s="29">
        <v>120</v>
      </c>
      <c r="K84" t="s">
        <v>191</v>
      </c>
      <c r="L84" t="s">
        <v>192</v>
      </c>
    </row>
    <row r="85" spans="1:23" x14ac:dyDescent="0.25">
      <c r="A85" s="58" t="s">
        <v>188</v>
      </c>
      <c r="J85" s="32">
        <f>D23</f>
        <v>9.16</v>
      </c>
      <c r="K85" t="s">
        <v>18</v>
      </c>
      <c r="L85" t="s">
        <v>197</v>
      </c>
    </row>
    <row r="86" spans="1:23" x14ac:dyDescent="0.25">
      <c r="A86" s="58" t="s">
        <v>194</v>
      </c>
      <c r="J86" s="29">
        <v>32</v>
      </c>
      <c r="K86" s="60" t="s">
        <v>195</v>
      </c>
      <c r="L86" t="s">
        <v>192</v>
      </c>
    </row>
    <row r="87" spans="1:23" x14ac:dyDescent="0.25">
      <c r="A87" s="58" t="s">
        <v>242</v>
      </c>
      <c r="J87" s="55">
        <f>0.67*J86</f>
        <v>21.44</v>
      </c>
      <c r="K87" s="60" t="s">
        <v>195</v>
      </c>
      <c r="L87" t="s">
        <v>243</v>
      </c>
      <c r="N87">
        <f>PI()/180*J87</f>
        <v>0.37419859162758429</v>
      </c>
    </row>
    <row r="88" spans="1:23" x14ac:dyDescent="0.25">
      <c r="A88" s="58"/>
      <c r="J88" s="29"/>
      <c r="K88" s="60"/>
    </row>
    <row r="89" spans="1:23" x14ac:dyDescent="0.25">
      <c r="A89" s="58" t="s">
        <v>207</v>
      </c>
      <c r="B89" t="str">
        <f>CONCATENATE(L89,M89,N89,O89,P89,Q89,R89,S89,T89,U89,V89,W89,X89,Y89,Z89,AA89,AB89,AC89,AD89,AE89)</f>
        <v>koϒs z = (0.47) x (120 lbs/ft^3) x (9.16 ft) x (1/1000)</v>
      </c>
      <c r="N89" s="58" t="s">
        <v>203</v>
      </c>
      <c r="O89">
        <f>J83</f>
        <v>0.47</v>
      </c>
      <c r="P89" t="s">
        <v>204</v>
      </c>
      <c r="Q89">
        <f>J84</f>
        <v>120</v>
      </c>
      <c r="R89" t="s">
        <v>205</v>
      </c>
      <c r="S89">
        <f>J85</f>
        <v>9.16</v>
      </c>
      <c r="T89" t="s">
        <v>206</v>
      </c>
    </row>
    <row r="90" spans="1:23" x14ac:dyDescent="0.25">
      <c r="A90" s="58" t="s">
        <v>207</v>
      </c>
      <c r="C90" s="61">
        <f>ROUND(O89*Q89*S89*1/1000, 3)</f>
        <v>0.51700000000000002</v>
      </c>
      <c r="D90" t="s">
        <v>208</v>
      </c>
    </row>
    <row r="91" spans="1:23" x14ac:dyDescent="0.25">
      <c r="A91" s="58" t="s">
        <v>201</v>
      </c>
      <c r="B91" t="str">
        <f>CONCATENATE(L91,M91,N91,O91,P91,Q91,R91,S91,T91,U91,V91,W91,X91,Y91,Z91,AA91,AB91,AC91,AD91,AE91)</f>
        <v>0.5(0.517k/ft)(9.16 ft x 37.375 ft) = 88.5k</v>
      </c>
      <c r="N91">
        <v>0.5</v>
      </c>
      <c r="O91" t="s">
        <v>108</v>
      </c>
      <c r="P91">
        <f>C90</f>
        <v>0.51700000000000002</v>
      </c>
      <c r="Q91" t="s">
        <v>209</v>
      </c>
      <c r="R91">
        <f>D23</f>
        <v>9.16</v>
      </c>
      <c r="S91" t="s">
        <v>177</v>
      </c>
      <c r="T91">
        <f>D5</f>
        <v>37.375</v>
      </c>
      <c r="U91" t="s">
        <v>240</v>
      </c>
      <c r="V91">
        <f>ROUND(N91*P91*R91*T91, 2)</f>
        <v>88.5</v>
      </c>
      <c r="W91" t="s">
        <v>152</v>
      </c>
    </row>
    <row r="92" spans="1:23" ht="17.25" x14ac:dyDescent="0.25">
      <c r="A92" s="58" t="s">
        <v>201</v>
      </c>
      <c r="N92" t="s">
        <v>214</v>
      </c>
      <c r="O92">
        <v>0.5</v>
      </c>
      <c r="P92" t="s">
        <v>108</v>
      </c>
      <c r="Q92">
        <f>C90</f>
        <v>0.51700000000000002</v>
      </c>
      <c r="R92" t="s">
        <v>215</v>
      </c>
    </row>
    <row r="93" spans="1:23" x14ac:dyDescent="0.25">
      <c r="A93" s="58" t="s">
        <v>241</v>
      </c>
      <c r="B93" t="str">
        <f>CONCATENATE(L93,M93,N93,O93,P93,Q93,R93,S93,T93,U93,V93,W93,X93,Y93,Z93,AA93,AB93,AC93,AD93,AE93)</f>
        <v>(Pa)sin δ = 88.5k sin 21.44⁰ = 32.35k</v>
      </c>
      <c r="N93" t="s">
        <v>244</v>
      </c>
      <c r="O93">
        <f>V91</f>
        <v>88.5</v>
      </c>
      <c r="P93" t="s">
        <v>245</v>
      </c>
      <c r="Q93">
        <f>J87</f>
        <v>21.44</v>
      </c>
      <c r="R93" s="60" t="s">
        <v>246</v>
      </c>
      <c r="S93">
        <f>ROUND(O93*SIN(N87), 2)</f>
        <v>32.35</v>
      </c>
      <c r="T93" t="s">
        <v>152</v>
      </c>
    </row>
    <row r="94" spans="1:23" x14ac:dyDescent="0.25">
      <c r="A94" s="58" t="s">
        <v>247</v>
      </c>
      <c r="B94" t="str">
        <f>CONCATENATE(L94,M94,N94,O94,P94,Q94,R94,S94,T94,U94,V94,W94,X94,Y94,Z94,AA94,AB94,AC94,AD94,AE94)</f>
        <v>(Pa)cos δ = 88.5k cos 21.44⁰ = 82.38k</v>
      </c>
      <c r="N94" t="s">
        <v>248</v>
      </c>
      <c r="O94">
        <f>V91</f>
        <v>88.5</v>
      </c>
      <c r="P94" t="s">
        <v>249</v>
      </c>
      <c r="Q94">
        <f>J87</f>
        <v>21.44</v>
      </c>
      <c r="R94" s="60" t="s">
        <v>246</v>
      </c>
      <c r="S94">
        <f>ROUND(O94*COS(N87), 2)</f>
        <v>82.38</v>
      </c>
      <c r="T94" t="s">
        <v>152</v>
      </c>
    </row>
    <row r="95" spans="1:23" x14ac:dyDescent="0.25">
      <c r="A95" s="58"/>
    </row>
    <row r="96" spans="1:23" x14ac:dyDescent="0.25">
      <c r="A96" s="58"/>
    </row>
    <row r="97" spans="1:28" x14ac:dyDescent="0.25">
      <c r="A97" s="28" t="s">
        <v>123</v>
      </c>
      <c r="C97" t="s">
        <v>124</v>
      </c>
    </row>
    <row r="99" spans="1:28" x14ac:dyDescent="0.25">
      <c r="A99" t="s">
        <v>125</v>
      </c>
      <c r="E99" s="29">
        <v>32</v>
      </c>
      <c r="F99" t="s">
        <v>58</v>
      </c>
    </row>
    <row r="100" spans="1:28" x14ac:dyDescent="0.25">
      <c r="A100" t="s">
        <v>126</v>
      </c>
      <c r="E100" s="29">
        <v>12</v>
      </c>
      <c r="F100" t="s">
        <v>58</v>
      </c>
    </row>
    <row r="101" spans="1:28" x14ac:dyDescent="0.25">
      <c r="A101" t="s">
        <v>127</v>
      </c>
      <c r="E101" s="29">
        <v>1</v>
      </c>
      <c r="I101" t="s">
        <v>128</v>
      </c>
    </row>
    <row r="102" spans="1:28" x14ac:dyDescent="0.25">
      <c r="A102" t="s">
        <v>129</v>
      </c>
      <c r="E102" s="29">
        <v>825</v>
      </c>
      <c r="F102" t="s">
        <v>130</v>
      </c>
      <c r="I102" t="s">
        <v>131</v>
      </c>
    </row>
    <row r="104" spans="1:28" x14ac:dyDescent="0.25">
      <c r="A104" t="s">
        <v>132</v>
      </c>
      <c r="C104" t="str">
        <f>CONCATENATE(M104,N104,O104,P104,Q104,R104,S104,T104,U104,V104,W104,X104,Y104,Z104,AA104,AB104,AC104,AD104,AE104,AF104)</f>
        <v>W / 12 = 32 / 12 = 2.67, Use: 2 Lanes</v>
      </c>
      <c r="M104" t="s">
        <v>133</v>
      </c>
      <c r="N104" t="s">
        <v>51</v>
      </c>
      <c r="O104">
        <f>E100</f>
        <v>12</v>
      </c>
      <c r="P104" t="s">
        <v>134</v>
      </c>
      <c r="Q104" s="29">
        <f>E99</f>
        <v>32</v>
      </c>
      <c r="R104" t="s">
        <v>51</v>
      </c>
      <c r="S104" s="29">
        <f>E100</f>
        <v>12</v>
      </c>
      <c r="T104" t="s">
        <v>134</v>
      </c>
      <c r="U104" s="35">
        <f>ROUND(Q104/S104, 2)</f>
        <v>2.67</v>
      </c>
      <c r="V104" t="s">
        <v>135</v>
      </c>
      <c r="W104" s="35">
        <f>INT(U104)</f>
        <v>2</v>
      </c>
      <c r="X104" t="s">
        <v>136</v>
      </c>
    </row>
    <row r="106" spans="1:28" x14ac:dyDescent="0.25">
      <c r="A106" t="s">
        <v>137</v>
      </c>
      <c r="C106" t="str">
        <f>CONCATENATE(M106,N106,O106,P106,Q106,R106,S106,T106,U106,V106,W106,X106,Y106,Z106,AA106,AB106,AC106,AD106,AE106,AF106)</f>
        <v>IF 100 &lt;̲ ADTT &lt;̲ 1000 = 0.95,  100 &lt;̲ 825 &lt;̲ 1000 = 0.95</v>
      </c>
      <c r="I106" t="s">
        <v>138</v>
      </c>
      <c r="M106" t="s">
        <v>139</v>
      </c>
      <c r="N106">
        <v>100</v>
      </c>
      <c r="O106" t="s">
        <v>140</v>
      </c>
      <c r="P106" t="s">
        <v>129</v>
      </c>
      <c r="Q106" t="s">
        <v>140</v>
      </c>
      <c r="R106">
        <v>1000</v>
      </c>
      <c r="S106" t="s">
        <v>134</v>
      </c>
      <c r="T106">
        <v>0.95</v>
      </c>
      <c r="U106" t="s">
        <v>141</v>
      </c>
      <c r="V106">
        <v>100</v>
      </c>
      <c r="W106" t="s">
        <v>140</v>
      </c>
      <c r="X106">
        <f>E102</f>
        <v>825</v>
      </c>
      <c r="Y106" t="s">
        <v>140</v>
      </c>
      <c r="Z106">
        <v>1000</v>
      </c>
      <c r="AA106" t="s">
        <v>134</v>
      </c>
      <c r="AB106">
        <v>0.95</v>
      </c>
    </row>
    <row r="108" spans="1:28" x14ac:dyDescent="0.25">
      <c r="A108" t="s">
        <v>142</v>
      </c>
    </row>
    <row r="109" spans="1:28" x14ac:dyDescent="0.25">
      <c r="A109" t="s">
        <v>143</v>
      </c>
    </row>
    <row r="110" spans="1:28" x14ac:dyDescent="0.25">
      <c r="A110" t="s">
        <v>144</v>
      </c>
    </row>
    <row r="112" spans="1:28" ht="18" x14ac:dyDescent="0.35">
      <c r="A112" t="s">
        <v>145</v>
      </c>
      <c r="B112" t="str">
        <f>CONCATENATE(L112,M112,N112,O112,P112,Q112,R112,S112,T112,U112,V112,W112,X112,Y112,Z112,AA112,AB112,AC112,AD112,AE112)</f>
        <v>0.25 ( 32k + 32k + 8k) (2) (1 ) ( 0.95 ) = 34.2k</v>
      </c>
      <c r="M112">
        <v>0.25</v>
      </c>
      <c r="N112" t="s">
        <v>146</v>
      </c>
      <c r="O112">
        <v>32</v>
      </c>
      <c r="P112" t="s">
        <v>147</v>
      </c>
      <c r="Q112">
        <v>32</v>
      </c>
      <c r="R112" t="s">
        <v>147</v>
      </c>
      <c r="S112">
        <v>8</v>
      </c>
      <c r="T112" t="s">
        <v>148</v>
      </c>
      <c r="U112">
        <v>2</v>
      </c>
      <c r="V112" t="s">
        <v>149</v>
      </c>
      <c r="W112">
        <v>1</v>
      </c>
      <c r="X112" t="s">
        <v>150</v>
      </c>
      <c r="Y112">
        <f>AB106</f>
        <v>0.95</v>
      </c>
      <c r="Z112" t="s">
        <v>151</v>
      </c>
      <c r="AA112">
        <f>M112*(O112+Q112+S112)*U112*W112*Y112</f>
        <v>34.199999999999996</v>
      </c>
      <c r="AB112" t="s">
        <v>152</v>
      </c>
    </row>
    <row r="113" spans="1:26" ht="18" x14ac:dyDescent="0.35">
      <c r="A113" t="s">
        <v>153</v>
      </c>
      <c r="B113" t="str">
        <f>CONCATENATE(L113,M113,N113,O113,P113,Q113,R113,S113,T113,U113,V113,W113,X113,Y113,Z113,AA113,AB113,AC113,AD113,AE113)</f>
        <v>0.05 ( 136.8k +  6.4k) (2) (1 ) ( 0.95 ) = 7.4k</v>
      </c>
      <c r="M113">
        <v>0.05</v>
      </c>
      <c r="N113" t="s">
        <v>146</v>
      </c>
      <c r="O113">
        <f>2*(O112+Q112+S112)*0.95</f>
        <v>136.79999999999998</v>
      </c>
      <c r="P113" t="s">
        <v>154</v>
      </c>
      <c r="Q113">
        <v>6.4</v>
      </c>
      <c r="R113" t="s">
        <v>148</v>
      </c>
      <c r="S113">
        <v>2</v>
      </c>
      <c r="T113" t="s">
        <v>149</v>
      </c>
      <c r="U113">
        <v>1</v>
      </c>
      <c r="V113" t="s">
        <v>150</v>
      </c>
      <c r="W113">
        <f>AB106</f>
        <v>0.95</v>
      </c>
      <c r="X113" t="s">
        <v>151</v>
      </c>
      <c r="Y113">
        <f>ROUND(M113*((O113+((Q113*S113*U113*W113)))),1)</f>
        <v>7.4</v>
      </c>
      <c r="Z113" t="s">
        <v>152</v>
      </c>
    </row>
    <row r="115" spans="1:26" x14ac:dyDescent="0.25">
      <c r="A115" t="s">
        <v>155</v>
      </c>
      <c r="B115">
        <f>IF(AA112&gt;Y113, AA112, Y113)</f>
        <v>34.199999999999996</v>
      </c>
      <c r="C115" t="s">
        <v>152</v>
      </c>
    </row>
    <row r="143" spans="1:3" x14ac:dyDescent="0.25">
      <c r="A143" s="113" t="s">
        <v>251</v>
      </c>
      <c r="B143" s="113"/>
      <c r="C143" s="113"/>
    </row>
    <row r="144" spans="1:3" x14ac:dyDescent="0.25">
      <c r="A144" s="113"/>
      <c r="B144" s="113"/>
      <c r="C144" s="113"/>
    </row>
    <row r="145" spans="1:3" ht="30" x14ac:dyDescent="0.25">
      <c r="A145" s="114" t="s">
        <v>483</v>
      </c>
      <c r="B145" s="113" t="s">
        <v>482</v>
      </c>
      <c r="C145" s="113"/>
    </row>
    <row r="146" spans="1:3" x14ac:dyDescent="0.25">
      <c r="A146" s="113"/>
      <c r="B146" s="113"/>
      <c r="C146" s="113"/>
    </row>
    <row r="147" spans="1:3" x14ac:dyDescent="0.25">
      <c r="A147" s="113" t="s">
        <v>489</v>
      </c>
      <c r="B147" s="113">
        <v>330</v>
      </c>
      <c r="C147" s="113" t="s">
        <v>152</v>
      </c>
    </row>
    <row r="148" spans="1:3" x14ac:dyDescent="0.25">
      <c r="A148" s="113" t="s">
        <v>490</v>
      </c>
      <c r="B148" s="113">
        <v>390</v>
      </c>
      <c r="C148" s="113" t="s">
        <v>152</v>
      </c>
    </row>
    <row r="149" spans="1:3" x14ac:dyDescent="0.25">
      <c r="A149" s="113" t="s">
        <v>491</v>
      </c>
      <c r="B149" s="113">
        <v>450</v>
      </c>
      <c r="C149" s="113" t="s">
        <v>152</v>
      </c>
    </row>
    <row r="150" spans="1:3" x14ac:dyDescent="0.25">
      <c r="A150" s="113" t="s">
        <v>484</v>
      </c>
      <c r="B150" s="113">
        <v>310</v>
      </c>
      <c r="C150" s="113" t="s">
        <v>152</v>
      </c>
    </row>
    <row r="151" spans="1:3" x14ac:dyDescent="0.25">
      <c r="A151" s="113" t="s">
        <v>485</v>
      </c>
      <c r="B151" s="113">
        <v>380</v>
      </c>
      <c r="C151" s="113" t="s">
        <v>152</v>
      </c>
    </row>
    <row r="152" spans="1:3" x14ac:dyDescent="0.25">
      <c r="A152" s="113" t="s">
        <v>486</v>
      </c>
      <c r="B152" s="113">
        <v>530</v>
      </c>
      <c r="C152" s="113" t="s">
        <v>152</v>
      </c>
    </row>
  </sheetData>
  <dataValidations count="1">
    <dataValidation type="list" allowBlank="1" showInputMessage="1" showErrorMessage="1" sqref="B11" xr:uid="{6D6E5DAC-AB77-4670-B096-192DEBC3AE29}">
      <formula1>$A$147:$A$152</formula1>
    </dataValidation>
  </dataValidation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Abutment Pile Loading</vt:lpstr>
      <vt:lpstr>Sheet1</vt:lpstr>
      <vt:lpstr>Sheet2</vt:lpstr>
      <vt:lpstr>Sheet3</vt:lpstr>
      <vt:lpstr>Sheet4</vt:lpstr>
      <vt:lpstr>Sheet5</vt:lpstr>
      <vt:lpstr>Sheet 6</vt:lpstr>
      <vt:lpstr>Loads &amp; Moment Arms</vt:lpstr>
      <vt:lpstr>Calcs</vt:lpstr>
      <vt:lpstr>Seismic Design</vt:lpstr>
      <vt:lpstr>'Abutment Pile Loading'!Print_Area</vt:lpstr>
      <vt:lpstr>'Seismic Design'!Print_Area</vt:lpstr>
      <vt:lpstr>'Sheet 6'!Print_Area</vt:lpstr>
      <vt:lpstr>Sheet1!Print_Area</vt:lpstr>
      <vt:lpstr>Sheet2!Print_Area</vt:lpstr>
      <vt:lpstr>Sheet3!Print_Area</vt:lpstr>
      <vt:lpstr>Sheet4!Print_Area</vt:lpstr>
      <vt:lpstr>Sheet5!Print_Area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Clark, Michael</cp:lastModifiedBy>
  <cp:lastPrinted>2024-10-22T16:11:42Z</cp:lastPrinted>
  <dcterms:created xsi:type="dcterms:W3CDTF">2022-06-09T19:31:25Z</dcterms:created>
  <dcterms:modified xsi:type="dcterms:W3CDTF">2024-10-22T17:27:25Z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